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O:\Felles\EFP\9-skjemaer\budsjettskjema\Utvikling og publisering_gjeldende\EU maler\Publisert\"/>
    </mc:Choice>
  </mc:AlternateContent>
  <bookViews>
    <workbookView xWindow="0" yWindow="0" windowWidth="19200" windowHeight="7725" tabRatio="884"/>
  </bookViews>
  <sheets>
    <sheet name="Registrering" sheetId="43" r:id="rId1"/>
    <sheet name="Finansiering" sheetId="41" r:id="rId2"/>
    <sheet name="Budsjett" sheetId="30" r:id="rId3"/>
    <sheet name="Leiested" sheetId="52" r:id="rId4"/>
    <sheet name="Intern oversikt" sheetId="40" r:id="rId5"/>
    <sheet name="NFR-budsjett" sheetId="46" state="hidden" r:id="rId6"/>
    <sheet name="Intern oversikt andel" sheetId="48" state="hidden" r:id="rId7"/>
    <sheet name="Budget for the proposal" sheetId="54" state="hidden" r:id="rId8"/>
    <sheet name="Budsjett_ERC for the proporsal" sheetId="53" state="hidden" r:id="rId9"/>
    <sheet name="Budget for the contract" sheetId="50" r:id="rId10"/>
    <sheet name="Tabeller" sheetId="32" r:id="rId11"/>
    <sheet name="Sheet2" sheetId="56" state="hidden" r:id="rId12"/>
    <sheet name="Sheet1" sheetId="57" state="hidden" r:id="rId13"/>
    <sheet name="Endringslogg" sheetId="59" r:id="rId14"/>
  </sheets>
  <externalReferences>
    <externalReference r:id="rId15"/>
  </externalReferences>
  <definedNames>
    <definedName name="Europeisk_entralbank">'Budget for the contract'!$D$3</definedName>
    <definedName name="Europeisk_Sentralbank">'Budget for the contract'!$D$3</definedName>
    <definedName name="_xlnm.Print_Area" localSheetId="9">'Budget for the contract'!$A$1:$G$36</definedName>
    <definedName name="_xlnm.Print_Area" localSheetId="2">Budsjett!$A$1:$M$66</definedName>
    <definedName name="_xlnm.Print_Area" localSheetId="8">'Budsjett_ERC for the proporsal'!$A$3:$J$24</definedName>
    <definedName name="_xlnm.Print_Area" localSheetId="4">'Intern oversikt'!$B$1:$M$36</definedName>
    <definedName name="_xlnm.Print_Area" localSheetId="6">'Intern oversikt andel'!$B$1:$M$29</definedName>
    <definedName name="_xlnm.Print_Area" localSheetId="3">Leiested!$A$1:$P$63</definedName>
    <definedName name="_xlnm.Print_Area" localSheetId="0">Registrering!$A$3:$E$34</definedName>
    <definedName name="valutakalkulator">Registrering!$K$21</definedName>
  </definedNames>
  <calcPr calcId="162913"/>
</workbook>
</file>

<file path=xl/calcChain.xml><?xml version="1.0" encoding="utf-8"?>
<calcChain xmlns="http://schemas.openxmlformats.org/spreadsheetml/2006/main">
  <c r="M9" i="32" l="1"/>
  <c r="L9" i="32"/>
  <c r="K9" i="32"/>
  <c r="J9" i="32"/>
  <c r="M8" i="32"/>
  <c r="L8" i="32"/>
  <c r="K8" i="32"/>
  <c r="J8" i="32"/>
  <c r="J33" i="32"/>
  <c r="J34" i="32"/>
  <c r="I34" i="32"/>
  <c r="BV27" i="30" l="1"/>
  <c r="BV28" i="30"/>
  <c r="BV29" i="30"/>
  <c r="BV30" i="30"/>
  <c r="BV31" i="30"/>
  <c r="BV32" i="30"/>
  <c r="BV33" i="30"/>
  <c r="Z27" i="30"/>
  <c r="AA27" i="30"/>
  <c r="Z28" i="30"/>
  <c r="AA28" i="30"/>
  <c r="Z29" i="30"/>
  <c r="AA29" i="30"/>
  <c r="Z30" i="30"/>
  <c r="AA30" i="30"/>
  <c r="Z31" i="30"/>
  <c r="AA31" i="30" s="1"/>
  <c r="Z32" i="30"/>
  <c r="AA32" i="30" s="1"/>
  <c r="Z33" i="30"/>
  <c r="AA33" i="30"/>
  <c r="J27" i="30"/>
  <c r="J28" i="30"/>
  <c r="J29" i="30"/>
  <c r="J30" i="30"/>
  <c r="J31" i="30"/>
  <c r="J32" i="30"/>
  <c r="J33" i="30"/>
  <c r="B27" i="30"/>
  <c r="B28" i="30"/>
  <c r="B29" i="30"/>
  <c r="B30" i="30"/>
  <c r="B31" i="30"/>
  <c r="B32" i="30"/>
  <c r="B33" i="30"/>
  <c r="K30" i="32" l="1"/>
  <c r="I23" i="43" l="1"/>
  <c r="C23" i="43" s="1"/>
  <c r="B24" i="30" l="1"/>
  <c r="B25" i="30"/>
  <c r="B26" i="30"/>
  <c r="B34" i="30"/>
  <c r="B23" i="30"/>
  <c r="B16" i="30"/>
  <c r="B17" i="30"/>
  <c r="B18" i="30"/>
  <c r="B19" i="30"/>
  <c r="B15" i="30"/>
  <c r="B5" i="30"/>
  <c r="B6" i="30"/>
  <c r="B7" i="30"/>
  <c r="B8" i="30"/>
  <c r="B9" i="30"/>
  <c r="B10" i="30"/>
  <c r="B11" i="30"/>
  <c r="B4" i="30"/>
  <c r="G27" i="40" l="1"/>
  <c r="D28" i="40"/>
  <c r="D27" i="40"/>
  <c r="J4" i="40" l="1"/>
  <c r="I26" i="40"/>
  <c r="G14" i="30" l="1"/>
  <c r="H14" i="30"/>
  <c r="I14" i="30"/>
  <c r="F14" i="30"/>
  <c r="H26" i="40" l="1"/>
  <c r="K33" i="32" l="1"/>
  <c r="J15" i="30"/>
  <c r="F3" i="52"/>
  <c r="G3" i="52"/>
  <c r="H3" i="52"/>
  <c r="I3" i="52" s="1"/>
  <c r="F12" i="30"/>
  <c r="G12" i="30"/>
  <c r="H12" i="30"/>
  <c r="I12" i="30"/>
  <c r="F20" i="30"/>
  <c r="G20" i="30"/>
  <c r="H20" i="30"/>
  <c r="I20" i="30"/>
  <c r="D22" i="40" l="1"/>
  <c r="E22" i="40"/>
  <c r="F22" i="40"/>
  <c r="C22" i="40"/>
  <c r="AM50" i="30"/>
  <c r="BQ50" i="30" s="1"/>
  <c r="AN50" i="30"/>
  <c r="BR50" i="30" s="1"/>
  <c r="AO50" i="30"/>
  <c r="BS50" i="30" s="1"/>
  <c r="AL50" i="30"/>
  <c r="BP50" i="30" s="1"/>
  <c r="BX50" i="30"/>
  <c r="BY50" i="30"/>
  <c r="BZ50" i="30"/>
  <c r="BW50" i="30"/>
  <c r="M50" i="30"/>
  <c r="BO50" i="30"/>
  <c r="BV50" i="30"/>
  <c r="AP50" i="30" l="1"/>
  <c r="CA50" i="30"/>
  <c r="BT50" i="30"/>
  <c r="G44" i="30" l="1"/>
  <c r="H44" i="30"/>
  <c r="I44" i="30"/>
  <c r="F44" i="30"/>
  <c r="M52" i="30" l="1"/>
  <c r="AL52" i="30"/>
  <c r="BP52" i="30" s="1"/>
  <c r="AM52" i="30"/>
  <c r="BQ52" i="30" s="1"/>
  <c r="AN52" i="30"/>
  <c r="BR52" i="30" s="1"/>
  <c r="AO52" i="30"/>
  <c r="BS52" i="30" s="1"/>
  <c r="BO52" i="30"/>
  <c r="BV52" i="30"/>
  <c r="BW52" i="30"/>
  <c r="BX52" i="30"/>
  <c r="BY52" i="30"/>
  <c r="BZ52" i="30"/>
  <c r="C11" i="40"/>
  <c r="D11" i="40"/>
  <c r="E11" i="40"/>
  <c r="F11" i="40"/>
  <c r="G6" i="53"/>
  <c r="H6" i="53"/>
  <c r="F6" i="53"/>
  <c r="B3" i="50"/>
  <c r="I33" i="32"/>
  <c r="L33" i="32"/>
  <c r="J13" i="32"/>
  <c r="J14" i="32"/>
  <c r="AB31" i="30" l="1"/>
  <c r="AC28" i="30"/>
  <c r="AB33" i="30"/>
  <c r="AB29" i="30"/>
  <c r="AC27" i="30"/>
  <c r="AB30" i="30"/>
  <c r="AB27" i="30"/>
  <c r="AC29" i="30"/>
  <c r="AB28" i="30"/>
  <c r="AC30" i="30"/>
  <c r="AC31" i="30"/>
  <c r="AB32" i="30"/>
  <c r="AC32" i="30"/>
  <c r="AC33" i="30"/>
  <c r="M33" i="32"/>
  <c r="N33" i="32" s="1"/>
  <c r="O14" i="32" s="1"/>
  <c r="H15" i="53"/>
  <c r="I15" i="53"/>
  <c r="G15" i="53"/>
  <c r="F21" i="53"/>
  <c r="G21" i="53"/>
  <c r="H21" i="53"/>
  <c r="I21" i="53"/>
  <c r="C14" i="50"/>
  <c r="E14" i="50"/>
  <c r="D14" i="50"/>
  <c r="F15" i="53"/>
  <c r="B14" i="50"/>
  <c r="AP52" i="30"/>
  <c r="BT52" i="30"/>
  <c r="G11" i="40"/>
  <c r="CA52" i="30"/>
  <c r="C3" i="53"/>
  <c r="N13" i="32"/>
  <c r="K13" i="32"/>
  <c r="K14" i="32"/>
  <c r="M13" i="32"/>
  <c r="L13" i="32"/>
  <c r="N14" i="32"/>
  <c r="M14" i="32"/>
  <c r="L14" i="32"/>
  <c r="H15" i="54"/>
  <c r="L15" i="54"/>
  <c r="AE32" i="30" l="1"/>
  <c r="AF32" i="30"/>
  <c r="AD32" i="30"/>
  <c r="AD29" i="30"/>
  <c r="AE29" i="30"/>
  <c r="AF29" i="30"/>
  <c r="AD27" i="30"/>
  <c r="AE27" i="30"/>
  <c r="AF27" i="30"/>
  <c r="AF33" i="30"/>
  <c r="AD33" i="30"/>
  <c r="AE33" i="30"/>
  <c r="AD30" i="30"/>
  <c r="AE30" i="30"/>
  <c r="AF30" i="30"/>
  <c r="AF28" i="30"/>
  <c r="AD28" i="30"/>
  <c r="AE28" i="30"/>
  <c r="AE31" i="30"/>
  <c r="AF31" i="30"/>
  <c r="AD31" i="30"/>
  <c r="G22" i="53"/>
  <c r="H22" i="53"/>
  <c r="I22" i="53"/>
  <c r="F22" i="53"/>
  <c r="I14" i="53"/>
  <c r="G14" i="53"/>
  <c r="H14" i="53"/>
  <c r="G16" i="53"/>
  <c r="F16" i="53"/>
  <c r="I16" i="53"/>
  <c r="H16" i="53"/>
  <c r="F14" i="50"/>
  <c r="G13" i="54" s="1"/>
  <c r="O33" i="32"/>
  <c r="O13" i="32"/>
  <c r="G13" i="53"/>
  <c r="H13" i="53"/>
  <c r="I13" i="53"/>
  <c r="F13" i="53"/>
  <c r="F14" i="53"/>
  <c r="AG33" i="30" l="1"/>
  <c r="AG31" i="30"/>
  <c r="AL31" i="30" s="1"/>
  <c r="AG28" i="30"/>
  <c r="AL28" i="30" s="1"/>
  <c r="AG30" i="30"/>
  <c r="AM30" i="30" s="1"/>
  <c r="BX30" i="30" s="1"/>
  <c r="AG27" i="30"/>
  <c r="AG29" i="30"/>
  <c r="AL29" i="30" s="1"/>
  <c r="AG32" i="30"/>
  <c r="AL32" i="30" s="1"/>
  <c r="AL30" i="30"/>
  <c r="AL27" i="30"/>
  <c r="AM27" i="30"/>
  <c r="BX27" i="30" s="1"/>
  <c r="AN27" i="30"/>
  <c r="BY27" i="30" s="1"/>
  <c r="AO27" i="30"/>
  <c r="BZ27" i="30" s="1"/>
  <c r="AO29" i="30"/>
  <c r="BZ29" i="30" s="1"/>
  <c r="AM32" i="30"/>
  <c r="BX32" i="30" s="1"/>
  <c r="AM31" i="30"/>
  <c r="BX31" i="30" s="1"/>
  <c r="AN28" i="30"/>
  <c r="BY28" i="30" s="1"/>
  <c r="AO28" i="30"/>
  <c r="BZ28" i="30" s="1"/>
  <c r="AL33" i="30"/>
  <c r="AM33" i="30"/>
  <c r="BX33" i="30" s="1"/>
  <c r="AN33" i="30"/>
  <c r="BY33" i="30" s="1"/>
  <c r="AO33" i="30"/>
  <c r="BZ33" i="30" s="1"/>
  <c r="J22" i="53"/>
  <c r="J16" i="53"/>
  <c r="P33" i="32"/>
  <c r="P13" i="32"/>
  <c r="P14" i="32"/>
  <c r="J15" i="53"/>
  <c r="J13" i="53"/>
  <c r="J14" i="53"/>
  <c r="AN31" i="30" l="1"/>
  <c r="BY31" i="30" s="1"/>
  <c r="AN29" i="30"/>
  <c r="BY29" i="30" s="1"/>
  <c r="AO32" i="30"/>
  <c r="BZ32" i="30" s="1"/>
  <c r="AM28" i="30"/>
  <c r="BX28" i="30" s="1"/>
  <c r="AO31" i="30"/>
  <c r="BZ31" i="30" s="1"/>
  <c r="AN32" i="30"/>
  <c r="BY32" i="30" s="1"/>
  <c r="AM29" i="30"/>
  <c r="BX29" i="30" s="1"/>
  <c r="AO30" i="30"/>
  <c r="BZ30" i="30" s="1"/>
  <c r="AN30" i="30"/>
  <c r="BY30" i="30" s="1"/>
  <c r="BW33" i="30"/>
  <c r="CA33" i="30" s="1"/>
  <c r="K33" i="30"/>
  <c r="BW28" i="30"/>
  <c r="K28" i="30"/>
  <c r="BW31" i="30"/>
  <c r="CA31" i="30" s="1"/>
  <c r="BW32" i="30"/>
  <c r="BW29" i="30"/>
  <c r="BW27" i="30"/>
  <c r="CA27" i="30" s="1"/>
  <c r="K27" i="30"/>
  <c r="BW30" i="30"/>
  <c r="Q33" i="32"/>
  <c r="Q13" i="32"/>
  <c r="Q14" i="32"/>
  <c r="K29" i="30" l="1"/>
  <c r="CA29" i="30"/>
  <c r="CA30" i="30"/>
  <c r="CA28" i="30"/>
  <c r="K32" i="30"/>
  <c r="CA32" i="30"/>
  <c r="K30" i="30"/>
  <c r="K31" i="30"/>
  <c r="R33" i="32"/>
  <c r="R13" i="32"/>
  <c r="R14" i="32"/>
  <c r="CA3" i="30"/>
  <c r="BW3" i="30"/>
  <c r="BV5" i="30"/>
  <c r="BV6" i="30"/>
  <c r="BV7" i="30"/>
  <c r="BV8" i="30"/>
  <c r="BV9" i="30"/>
  <c r="BV10" i="30"/>
  <c r="BV11" i="30"/>
  <c r="BV12" i="30"/>
  <c r="BV13" i="30"/>
  <c r="BV14" i="30"/>
  <c r="BV15" i="30"/>
  <c r="BV16" i="30"/>
  <c r="BV17" i="30"/>
  <c r="BV18" i="30"/>
  <c r="BV19" i="30"/>
  <c r="BV20" i="30"/>
  <c r="BV21" i="30"/>
  <c r="BV22" i="30"/>
  <c r="BV23" i="30"/>
  <c r="BV24" i="30"/>
  <c r="BV25" i="30"/>
  <c r="BV26" i="30"/>
  <c r="BV34" i="30"/>
  <c r="BV35" i="30"/>
  <c r="BV36" i="30"/>
  <c r="BV37" i="30"/>
  <c r="BV38" i="30"/>
  <c r="BV39" i="30"/>
  <c r="BV40" i="30"/>
  <c r="BV41" i="30"/>
  <c r="BV42" i="30"/>
  <c r="BV43" i="30"/>
  <c r="BV44" i="30"/>
  <c r="BV45" i="30"/>
  <c r="BV46" i="30"/>
  <c r="BV47" i="30"/>
  <c r="BV48" i="30"/>
  <c r="BV49" i="30"/>
  <c r="BV51" i="30"/>
  <c r="BV53" i="30"/>
  <c r="BV54" i="30"/>
  <c r="BV55" i="30"/>
  <c r="BV56" i="30"/>
  <c r="BV4" i="30"/>
  <c r="BO14" i="30"/>
  <c r="BO15" i="30"/>
  <c r="BO16" i="30"/>
  <c r="BO17" i="30"/>
  <c r="BO18" i="30"/>
  <c r="BO19" i="30"/>
  <c r="BO20" i="30"/>
  <c r="BO21" i="30"/>
  <c r="BO22" i="30"/>
  <c r="BO23" i="30"/>
  <c r="BO24" i="30"/>
  <c r="BO25" i="30"/>
  <c r="BO26" i="30"/>
  <c r="BO34" i="30"/>
  <c r="BO35" i="30"/>
  <c r="BO36" i="30"/>
  <c r="BO37" i="30"/>
  <c r="BO38" i="30"/>
  <c r="BO39" i="30"/>
  <c r="BO40" i="30"/>
  <c r="BO41" i="30"/>
  <c r="BO42" i="30"/>
  <c r="BO43" i="30"/>
  <c r="BO44" i="30"/>
  <c r="BO45" i="30"/>
  <c r="BO46" i="30"/>
  <c r="BO47" i="30"/>
  <c r="BO48" i="30"/>
  <c r="BO49" i="30"/>
  <c r="BO51" i="30"/>
  <c r="BO53" i="30"/>
  <c r="BO54" i="30"/>
  <c r="BO13" i="30"/>
  <c r="BO12" i="30"/>
  <c r="BO5" i="30"/>
  <c r="BO6" i="30"/>
  <c r="BO7" i="30"/>
  <c r="BO8" i="30"/>
  <c r="BO9" i="30"/>
  <c r="BO10" i="30"/>
  <c r="BO11" i="30"/>
  <c r="BO4" i="30"/>
  <c r="S13" i="32" l="1"/>
  <c r="S14" i="32"/>
  <c r="BT3" i="30"/>
  <c r="BT44" i="30" s="1"/>
  <c r="BP3" i="30"/>
  <c r="BP44" i="30" s="1"/>
  <c r="BC37" i="30"/>
  <c r="BC22" i="30"/>
  <c r="BC14" i="30"/>
  <c r="BC3" i="30"/>
  <c r="E7" i="46" l="1"/>
  <c r="F7" i="46"/>
  <c r="G7" i="46"/>
  <c r="H7" i="46"/>
  <c r="I7" i="46"/>
  <c r="J7" i="46"/>
  <c r="K7" i="46"/>
  <c r="L7" i="46"/>
  <c r="D7" i="46"/>
  <c r="C7" i="46"/>
  <c r="E11" i="52" l="1"/>
  <c r="AY35" i="30" l="1"/>
  <c r="N51" i="52"/>
  <c r="M51" i="52"/>
  <c r="L51" i="52"/>
  <c r="K51" i="52"/>
  <c r="J51" i="52"/>
  <c r="I51" i="52"/>
  <c r="H51" i="52"/>
  <c r="G51" i="52"/>
  <c r="F51" i="52"/>
  <c r="E51" i="52"/>
  <c r="N63" i="52"/>
  <c r="M63" i="52"/>
  <c r="L63" i="52"/>
  <c r="K63" i="52"/>
  <c r="J63" i="52"/>
  <c r="I63" i="52"/>
  <c r="H63" i="52"/>
  <c r="G63" i="52"/>
  <c r="F63" i="52"/>
  <c r="E63" i="52"/>
  <c r="N59" i="52"/>
  <c r="M59" i="52"/>
  <c r="L59" i="52"/>
  <c r="K59" i="52"/>
  <c r="J59" i="52"/>
  <c r="I59" i="52"/>
  <c r="H59" i="52"/>
  <c r="G59" i="52"/>
  <c r="F59" i="52"/>
  <c r="E59" i="52"/>
  <c r="N55" i="52"/>
  <c r="M55" i="52"/>
  <c r="L55" i="52"/>
  <c r="K55" i="52"/>
  <c r="J55" i="52"/>
  <c r="I55" i="52"/>
  <c r="H55" i="52"/>
  <c r="G55" i="52"/>
  <c r="F55" i="52"/>
  <c r="E55" i="52"/>
  <c r="N47" i="52"/>
  <c r="M47" i="52"/>
  <c r="L47" i="52"/>
  <c r="K47" i="52"/>
  <c r="J47" i="52"/>
  <c r="I47" i="52"/>
  <c r="H47" i="52"/>
  <c r="G47" i="52"/>
  <c r="F47" i="52"/>
  <c r="E47" i="52"/>
  <c r="N43" i="52"/>
  <c r="M43" i="52"/>
  <c r="L43" i="52"/>
  <c r="K43" i="52"/>
  <c r="J43" i="52"/>
  <c r="I43" i="52"/>
  <c r="H43" i="52"/>
  <c r="G43" i="52"/>
  <c r="F43" i="52"/>
  <c r="E43" i="52"/>
  <c r="N39" i="52"/>
  <c r="M39" i="52"/>
  <c r="L39" i="52"/>
  <c r="K39" i="52"/>
  <c r="J39" i="52"/>
  <c r="I39" i="52"/>
  <c r="H39" i="52"/>
  <c r="G39" i="52"/>
  <c r="F39" i="52"/>
  <c r="E39" i="52"/>
  <c r="N35" i="52"/>
  <c r="M35" i="52"/>
  <c r="L35" i="52"/>
  <c r="K35" i="52"/>
  <c r="J35" i="52"/>
  <c r="I35" i="52"/>
  <c r="H35" i="52"/>
  <c r="G35" i="52"/>
  <c r="F35" i="52"/>
  <c r="E35" i="52"/>
  <c r="N31" i="52"/>
  <c r="M31" i="52"/>
  <c r="L31" i="52"/>
  <c r="K31" i="52"/>
  <c r="J31" i="52"/>
  <c r="I31" i="52"/>
  <c r="H31" i="52"/>
  <c r="G31" i="52"/>
  <c r="F31" i="52"/>
  <c r="E31" i="52"/>
  <c r="N27" i="52"/>
  <c r="M27" i="52"/>
  <c r="L27" i="52"/>
  <c r="K27" i="52"/>
  <c r="J27" i="52"/>
  <c r="I27" i="52"/>
  <c r="H27" i="52"/>
  <c r="G27" i="52"/>
  <c r="F27" i="52"/>
  <c r="E27" i="52"/>
  <c r="N23" i="52"/>
  <c r="M23" i="52"/>
  <c r="L23" i="52"/>
  <c r="K23" i="52"/>
  <c r="J23" i="52"/>
  <c r="I23" i="52"/>
  <c r="H23" i="52"/>
  <c r="G23" i="52"/>
  <c r="F23" i="52"/>
  <c r="E23" i="52"/>
  <c r="N19" i="52"/>
  <c r="M19" i="52"/>
  <c r="L19" i="52"/>
  <c r="K19" i="52"/>
  <c r="J19" i="52"/>
  <c r="I19" i="52"/>
  <c r="H19" i="52"/>
  <c r="G19" i="52"/>
  <c r="F19" i="52"/>
  <c r="E19" i="52"/>
  <c r="N15" i="52"/>
  <c r="M15" i="52"/>
  <c r="L15" i="52"/>
  <c r="K15" i="52"/>
  <c r="J15" i="52"/>
  <c r="I15" i="52"/>
  <c r="H15" i="52"/>
  <c r="G15" i="52"/>
  <c r="F15" i="52"/>
  <c r="E15" i="52"/>
  <c r="N11" i="52"/>
  <c r="M11" i="52"/>
  <c r="L11" i="52"/>
  <c r="K11" i="52"/>
  <c r="J11" i="52"/>
  <c r="I11" i="52"/>
  <c r="H11" i="52"/>
  <c r="G11" i="52"/>
  <c r="F11" i="52"/>
  <c r="G48" i="30" s="1"/>
  <c r="N7" i="52"/>
  <c r="M7" i="52"/>
  <c r="L7" i="52"/>
  <c r="K7" i="52"/>
  <c r="J7" i="52"/>
  <c r="I7" i="52"/>
  <c r="H7" i="52"/>
  <c r="G7" i="52"/>
  <c r="H49" i="30" s="1"/>
  <c r="H17" i="53" s="1"/>
  <c r="H18" i="53" s="1"/>
  <c r="F7" i="52"/>
  <c r="E7" i="52"/>
  <c r="F48" i="30" s="1"/>
  <c r="O4" i="52"/>
  <c r="C1" i="52"/>
  <c r="H48" i="30" l="1"/>
  <c r="E21" i="40" s="1"/>
  <c r="I48" i="30"/>
  <c r="F21" i="40" s="1"/>
  <c r="F49" i="30"/>
  <c r="O47" i="52"/>
  <c r="O59" i="52"/>
  <c r="O51" i="52"/>
  <c r="I49" i="30"/>
  <c r="G49" i="30"/>
  <c r="D21" i="40"/>
  <c r="H8" i="46"/>
  <c r="L8" i="46"/>
  <c r="I8" i="46"/>
  <c r="J8" i="46"/>
  <c r="G8" i="46"/>
  <c r="K8" i="46"/>
  <c r="E20" i="40"/>
  <c r="L16" i="48"/>
  <c r="H16" i="48"/>
  <c r="K16" i="48"/>
  <c r="G16" i="48"/>
  <c r="J16" i="48"/>
  <c r="I16" i="48"/>
  <c r="O11" i="52"/>
  <c r="O35" i="52"/>
  <c r="O19" i="52"/>
  <c r="O27" i="52"/>
  <c r="O43" i="52"/>
  <c r="O55" i="52"/>
  <c r="O63" i="52"/>
  <c r="O15" i="52"/>
  <c r="O23" i="52"/>
  <c r="O31" i="52"/>
  <c r="O39" i="52"/>
  <c r="O7" i="52"/>
  <c r="M14" i="46"/>
  <c r="M16" i="46"/>
  <c r="M17" i="46"/>
  <c r="M13" i="46"/>
  <c r="E3" i="52"/>
  <c r="J3" i="52" s="1"/>
  <c r="K3" i="52" s="1"/>
  <c r="L3" i="52" s="1"/>
  <c r="M3" i="52" s="1"/>
  <c r="N3" i="52" s="1"/>
  <c r="E16" i="48" l="1"/>
  <c r="H54" i="30"/>
  <c r="E8" i="46"/>
  <c r="C20" i="40"/>
  <c r="F17" i="53"/>
  <c r="F18" i="53" s="1"/>
  <c r="D16" i="48"/>
  <c r="G17" i="53"/>
  <c r="F8" i="46"/>
  <c r="I17" i="53"/>
  <c r="I18" i="53" s="1"/>
  <c r="D20" i="40"/>
  <c r="D8" i="46"/>
  <c r="F20" i="40"/>
  <c r="G54" i="30"/>
  <c r="I54" i="30"/>
  <c r="F16" i="48"/>
  <c r="M49" i="30"/>
  <c r="C21" i="40"/>
  <c r="C8" i="46"/>
  <c r="M48" i="30"/>
  <c r="C16" i="48"/>
  <c r="F54" i="30"/>
  <c r="BT35" i="30"/>
  <c r="BT34" i="30"/>
  <c r="BT26" i="30"/>
  <c r="BT25" i="30"/>
  <c r="BT24" i="30"/>
  <c r="BT23" i="30"/>
  <c r="G18" i="53" l="1"/>
  <c r="J17" i="53"/>
  <c r="G20" i="40"/>
  <c r="AO49" i="30"/>
  <c r="AN49" i="30"/>
  <c r="AM49" i="30"/>
  <c r="AL49" i="30"/>
  <c r="AO48" i="30"/>
  <c r="AN48" i="30"/>
  <c r="AM48" i="30"/>
  <c r="AL48" i="30"/>
  <c r="BW49" i="30" l="1"/>
  <c r="BX49" i="30"/>
  <c r="BY49" i="30"/>
  <c r="BZ49" i="30"/>
  <c r="BZ48" i="30"/>
  <c r="BS48" i="30"/>
  <c r="BY48" i="30"/>
  <c r="BR48" i="30"/>
  <c r="BX48" i="30"/>
  <c r="BQ48" i="30"/>
  <c r="BR49" i="30"/>
  <c r="D11" i="50" s="1"/>
  <c r="BS49" i="30"/>
  <c r="E11" i="50" s="1"/>
  <c r="BQ49" i="30"/>
  <c r="C11" i="50" s="1"/>
  <c r="BW48" i="30"/>
  <c r="BP48" i="30"/>
  <c r="AP48" i="30"/>
  <c r="BP49" i="30"/>
  <c r="B11" i="50" s="1"/>
  <c r="AP49" i="30"/>
  <c r="B7" i="50"/>
  <c r="E29" i="48"/>
  <c r="B29" i="48"/>
  <c r="C23" i="48"/>
  <c r="L17" i="48"/>
  <c r="K17" i="48"/>
  <c r="J17" i="48"/>
  <c r="I17" i="48"/>
  <c r="H17" i="48"/>
  <c r="G17" i="48"/>
  <c r="F17" i="48"/>
  <c r="E17" i="48"/>
  <c r="D17" i="48"/>
  <c r="C17" i="48"/>
  <c r="L15" i="48"/>
  <c r="K15" i="48"/>
  <c r="J15" i="48"/>
  <c r="I15" i="48"/>
  <c r="H15" i="48"/>
  <c r="G15" i="48"/>
  <c r="F15" i="48"/>
  <c r="E15" i="48"/>
  <c r="D15" i="48"/>
  <c r="C15" i="48"/>
  <c r="L9" i="48"/>
  <c r="K9" i="48"/>
  <c r="J9" i="48"/>
  <c r="I9" i="48"/>
  <c r="H9" i="48"/>
  <c r="G9" i="48"/>
  <c r="F9" i="48"/>
  <c r="E9" i="48"/>
  <c r="D9" i="48"/>
  <c r="C9" i="48"/>
  <c r="C7" i="48"/>
  <c r="K5" i="48"/>
  <c r="K4" i="48"/>
  <c r="C4" i="48"/>
  <c r="K3" i="48"/>
  <c r="C3" i="48"/>
  <c r="K2" i="48"/>
  <c r="C2" i="48"/>
  <c r="K1" i="48"/>
  <c r="C1" i="48"/>
  <c r="AR63" i="30"/>
  <c r="AS63" i="30"/>
  <c r="AT63" i="30"/>
  <c r="AQ63" i="30"/>
  <c r="F27" i="43"/>
  <c r="E27" i="43"/>
  <c r="F22" i="30"/>
  <c r="N16" i="46"/>
  <c r="J5" i="32"/>
  <c r="I32" i="32" s="1"/>
  <c r="BW53" i="30"/>
  <c r="BX53" i="30"/>
  <c r="BY53" i="30"/>
  <c r="BZ53" i="30"/>
  <c r="BX41" i="30"/>
  <c r="CA39" i="30"/>
  <c r="CA40" i="30"/>
  <c r="CA16" i="30"/>
  <c r="CA17" i="30"/>
  <c r="CA18" i="30"/>
  <c r="CA19" i="30"/>
  <c r="BY20" i="30"/>
  <c r="BY12" i="30"/>
  <c r="BZ12" i="30"/>
  <c r="CA6" i="30"/>
  <c r="BW12" i="30"/>
  <c r="CA8" i="30"/>
  <c r="CA9" i="30"/>
  <c r="CA10" i="30"/>
  <c r="BZ41" i="30"/>
  <c r="BX20" i="30"/>
  <c r="CA11" i="30"/>
  <c r="CA7" i="30"/>
  <c r="CA5" i="30"/>
  <c r="BY41" i="30"/>
  <c r="BZ20" i="30"/>
  <c r="CA15" i="30"/>
  <c r="CA4" i="30"/>
  <c r="BX12" i="30"/>
  <c r="CA38" i="30"/>
  <c r="BW41" i="30"/>
  <c r="BW20" i="30"/>
  <c r="M40" i="46"/>
  <c r="Z40" i="30"/>
  <c r="Z39" i="30"/>
  <c r="Z38" i="30"/>
  <c r="Z34" i="30"/>
  <c r="Z26" i="30"/>
  <c r="Z25" i="30"/>
  <c r="Z24" i="30"/>
  <c r="AA24" i="30" s="1"/>
  <c r="Z23" i="30"/>
  <c r="Z19" i="30"/>
  <c r="Z18" i="30"/>
  <c r="Z17" i="30"/>
  <c r="Z16" i="30"/>
  <c r="Z15" i="30"/>
  <c r="AA15" i="30" s="1"/>
  <c r="Z5" i="30"/>
  <c r="Z6" i="30"/>
  <c r="Z7" i="30"/>
  <c r="Z8" i="30"/>
  <c r="AA8" i="30" s="1"/>
  <c r="Z9" i="30"/>
  <c r="AA9" i="30" s="1"/>
  <c r="Z10" i="30"/>
  <c r="Z11" i="30"/>
  <c r="Z4" i="30"/>
  <c r="F41" i="30"/>
  <c r="F35" i="30"/>
  <c r="AA40" i="30"/>
  <c r="AC40" i="30" s="1"/>
  <c r="AA39" i="30"/>
  <c r="AC39" i="30" s="1"/>
  <c r="AA38" i="30"/>
  <c r="AC38" i="30" s="1"/>
  <c r="G41" i="30"/>
  <c r="H41" i="30"/>
  <c r="I41" i="30"/>
  <c r="J39" i="30"/>
  <c r="J40" i="30"/>
  <c r="J38" i="30"/>
  <c r="G8" i="41"/>
  <c r="D6" i="46"/>
  <c r="E6" i="46"/>
  <c r="F6" i="46"/>
  <c r="G6" i="46"/>
  <c r="H6" i="46"/>
  <c r="I6" i="46"/>
  <c r="J6" i="46"/>
  <c r="K6" i="46"/>
  <c r="L6" i="46"/>
  <c r="C6" i="46"/>
  <c r="E57" i="30"/>
  <c r="E56" i="30"/>
  <c r="N17" i="46"/>
  <c r="D19" i="40"/>
  <c r="E19" i="40"/>
  <c r="F19" i="40"/>
  <c r="C19" i="40"/>
  <c r="AL45" i="30"/>
  <c r="BP45" i="30" s="1"/>
  <c r="AM45" i="30"/>
  <c r="BQ45" i="30" s="1"/>
  <c r="AN45" i="30"/>
  <c r="BR45" i="30" s="1"/>
  <c r="AO45" i="30"/>
  <c r="BS45" i="30" s="1"/>
  <c r="AL46" i="30"/>
  <c r="AM46" i="30"/>
  <c r="AN46" i="30"/>
  <c r="AO46" i="30"/>
  <c r="AL47" i="30"/>
  <c r="AM47" i="30"/>
  <c r="AN47" i="30"/>
  <c r="AO47" i="30"/>
  <c r="AL51" i="30"/>
  <c r="BP51" i="30" s="1"/>
  <c r="AM51" i="30"/>
  <c r="BQ51" i="30" s="1"/>
  <c r="C13" i="50" s="1"/>
  <c r="AN51" i="30"/>
  <c r="BR51" i="30" s="1"/>
  <c r="D13" i="50" s="1"/>
  <c r="AO51" i="30"/>
  <c r="BS51" i="30" s="1"/>
  <c r="E13" i="50" s="1"/>
  <c r="AL53" i="30"/>
  <c r="BP53" i="30" s="1"/>
  <c r="AM53" i="30"/>
  <c r="BQ53" i="30" s="1"/>
  <c r="AN53" i="30"/>
  <c r="BR53" i="30" s="1"/>
  <c r="AO53" i="30"/>
  <c r="BS53" i="30" s="1"/>
  <c r="AA4" i="30"/>
  <c r="AD46" i="30" s="1"/>
  <c r="AA5" i="30"/>
  <c r="AA6" i="30"/>
  <c r="AA7" i="30"/>
  <c r="AA10" i="30"/>
  <c r="AA11" i="30"/>
  <c r="J9" i="30"/>
  <c r="J8" i="30"/>
  <c r="J19" i="30"/>
  <c r="J16" i="30"/>
  <c r="J24" i="30"/>
  <c r="J18" i="30"/>
  <c r="J4" i="30"/>
  <c r="I6" i="40"/>
  <c r="AA25" i="30"/>
  <c r="AA26" i="30"/>
  <c r="AA34" i="30"/>
  <c r="AA23" i="30"/>
  <c r="AA16" i="30"/>
  <c r="AA17" i="30"/>
  <c r="AA18" i="30"/>
  <c r="AA19" i="30"/>
  <c r="C6" i="40"/>
  <c r="H4" i="40"/>
  <c r="H3" i="40"/>
  <c r="C5" i="40"/>
  <c r="C4" i="40"/>
  <c r="E36" i="40"/>
  <c r="B36" i="40"/>
  <c r="H6" i="40"/>
  <c r="C30" i="40"/>
  <c r="H5" i="40"/>
  <c r="C3" i="40"/>
  <c r="D1" i="30"/>
  <c r="B2" i="41"/>
  <c r="AZ35" i="30"/>
  <c r="AX35" i="30"/>
  <c r="AW35" i="30"/>
  <c r="M45" i="30"/>
  <c r="M46" i="30"/>
  <c r="M47" i="30"/>
  <c r="M51" i="30"/>
  <c r="M53" i="30"/>
  <c r="J5" i="30"/>
  <c r="J6" i="30"/>
  <c r="J7" i="30"/>
  <c r="J10" i="30"/>
  <c r="J11" i="30"/>
  <c r="J17" i="30"/>
  <c r="J23" i="30"/>
  <c r="J25" i="30"/>
  <c r="J26" i="30"/>
  <c r="J34" i="30"/>
  <c r="G35" i="30"/>
  <c r="H35" i="30"/>
  <c r="I35" i="30"/>
  <c r="AL3" i="30"/>
  <c r="AQ3" i="30" s="1"/>
  <c r="AW3" i="30" s="1"/>
  <c r="C4" i="46"/>
  <c r="C12" i="46" s="1"/>
  <c r="C9" i="40"/>
  <c r="C6" i="41"/>
  <c r="D9" i="40"/>
  <c r="AH30" i="30" l="1"/>
  <c r="AI30" i="30" s="1"/>
  <c r="AH27" i="30"/>
  <c r="AI27" i="30" s="1"/>
  <c r="AH31" i="30"/>
  <c r="AI31" i="30" s="1"/>
  <c r="AH32" i="30"/>
  <c r="AI32" i="30" s="1"/>
  <c r="AH33" i="30"/>
  <c r="AI33" i="30" s="1"/>
  <c r="AH29" i="30"/>
  <c r="AI29" i="30" s="1"/>
  <c r="AH28" i="30"/>
  <c r="AI28" i="30" s="1"/>
  <c r="AL14" i="30"/>
  <c r="AQ14" i="30" s="1"/>
  <c r="AW14" i="30" s="1"/>
  <c r="F11" i="50"/>
  <c r="BT48" i="30"/>
  <c r="BT53" i="30"/>
  <c r="BT49" i="30"/>
  <c r="BQ3" i="30"/>
  <c r="BQ44" i="30" s="1"/>
  <c r="BX3" i="30"/>
  <c r="B13" i="50"/>
  <c r="BT51" i="30"/>
  <c r="BT45" i="30"/>
  <c r="C7" i="50"/>
  <c r="C26" i="50" s="1"/>
  <c r="BD22" i="30"/>
  <c r="BD3" i="30"/>
  <c r="BD37" i="30"/>
  <c r="BD14" i="30"/>
  <c r="AB15" i="30"/>
  <c r="AD15" i="30" s="1"/>
  <c r="K5" i="32"/>
  <c r="J32" i="32" s="1"/>
  <c r="D4" i="46"/>
  <c r="D12" i="46" s="1"/>
  <c r="AM3" i="30"/>
  <c r="AR3" i="30" s="1"/>
  <c r="AX3" i="30" s="1"/>
  <c r="D6" i="41"/>
  <c r="G22" i="30"/>
  <c r="G37" i="30" s="1"/>
  <c r="I40" i="46"/>
  <c r="BR47" i="30"/>
  <c r="BW46" i="30"/>
  <c r="BY45" i="30"/>
  <c r="I39" i="46"/>
  <c r="L40" i="46"/>
  <c r="H40" i="46"/>
  <c r="D40" i="46"/>
  <c r="BQ47" i="30"/>
  <c r="BZ46" i="30"/>
  <c r="D41" i="46"/>
  <c r="K40" i="46"/>
  <c r="G40" i="46"/>
  <c r="BW47" i="30"/>
  <c r="BY46" i="30"/>
  <c r="BW45" i="30"/>
  <c r="G39" i="46"/>
  <c r="J40" i="46"/>
  <c r="L39" i="46"/>
  <c r="BZ47" i="30"/>
  <c r="BX46" i="30"/>
  <c r="K39" i="46"/>
  <c r="AP51" i="30"/>
  <c r="CA49" i="30"/>
  <c r="BZ45" i="30"/>
  <c r="BZ51" i="30"/>
  <c r="BY51" i="30"/>
  <c r="CA41" i="30"/>
  <c r="BX45" i="30"/>
  <c r="BX51" i="30"/>
  <c r="BY47" i="30"/>
  <c r="BX47" i="30"/>
  <c r="C39" i="46"/>
  <c r="BW51" i="30"/>
  <c r="E40" i="46"/>
  <c r="AL54" i="30"/>
  <c r="BS47" i="30"/>
  <c r="BS46" i="30"/>
  <c r="BR46" i="30"/>
  <c r="BQ46" i="30"/>
  <c r="AN54" i="30"/>
  <c r="BP46" i="30"/>
  <c r="AO54" i="30"/>
  <c r="AM54" i="30"/>
  <c r="CA48" i="30"/>
  <c r="AP53" i="30"/>
  <c r="AP45" i="30"/>
  <c r="F39" i="46"/>
  <c r="E41" i="46"/>
  <c r="CA20" i="30"/>
  <c r="CA12" i="30"/>
  <c r="AP47" i="30"/>
  <c r="J35" i="30"/>
  <c r="CA14" i="30"/>
  <c r="CA22" i="30" s="1"/>
  <c r="CA37" i="30" s="1"/>
  <c r="CA44" i="30" s="1"/>
  <c r="BT14" i="30"/>
  <c r="BT22" i="30" s="1"/>
  <c r="BT37" i="30" s="1"/>
  <c r="J20" i="30"/>
  <c r="J41" i="30"/>
  <c r="AC15" i="30"/>
  <c r="AB18" i="30"/>
  <c r="AC16" i="30"/>
  <c r="AC34" i="30"/>
  <c r="AC25" i="30"/>
  <c r="AB9" i="30"/>
  <c r="AD9" i="30" s="1"/>
  <c r="AB11" i="30"/>
  <c r="AB7" i="30"/>
  <c r="AB5" i="30"/>
  <c r="M8" i="46"/>
  <c r="AC19" i="30"/>
  <c r="AB17" i="30"/>
  <c r="AD17" i="30" s="1"/>
  <c r="AB23" i="30"/>
  <c r="AD23" i="30" s="1"/>
  <c r="AC26" i="30"/>
  <c r="AB24" i="30"/>
  <c r="AE24" i="30" s="1"/>
  <c r="AB10" i="30"/>
  <c r="AC6" i="30"/>
  <c r="AB4" i="30"/>
  <c r="M6" i="46"/>
  <c r="D7" i="48"/>
  <c r="F37" i="30"/>
  <c r="AL22" i="30"/>
  <c r="AQ22" i="30" s="1"/>
  <c r="AW22" i="30" s="1"/>
  <c r="J12" i="30"/>
  <c r="BP47" i="30"/>
  <c r="CA53" i="30"/>
  <c r="F40" i="46"/>
  <c r="AM14" i="30"/>
  <c r="AR14" i="30" s="1"/>
  <c r="AX14" i="30" s="1"/>
  <c r="C30" i="46"/>
  <c r="AB16" i="30"/>
  <c r="AB40" i="30"/>
  <c r="AD40" i="30" s="1"/>
  <c r="AC4" i="30"/>
  <c r="AC23" i="30"/>
  <c r="AB38" i="30"/>
  <c r="AE38" i="30" s="1"/>
  <c r="AB26" i="30"/>
  <c r="AE26" i="30" s="1"/>
  <c r="AC5" i="30"/>
  <c r="AB34" i="30"/>
  <c r="AF34" i="30" s="1"/>
  <c r="C21" i="46"/>
  <c r="G22" i="40"/>
  <c r="AC9" i="30"/>
  <c r="AB39" i="30"/>
  <c r="AE39" i="30" s="1"/>
  <c r="H42" i="30"/>
  <c r="AS66" i="30" s="1"/>
  <c r="AC17" i="30"/>
  <c r="AB6" i="30"/>
  <c r="AD6" i="30" s="1"/>
  <c r="N6" i="46"/>
  <c r="M15" i="48"/>
  <c r="AC7" i="30"/>
  <c r="AC10" i="30"/>
  <c r="AC24" i="30"/>
  <c r="AC11" i="30"/>
  <c r="AB19" i="30"/>
  <c r="AD19" i="30" s="1"/>
  <c r="G19" i="40"/>
  <c r="AB25" i="30"/>
  <c r="AC8" i="30"/>
  <c r="AB8" i="30"/>
  <c r="AD8" i="30" s="1"/>
  <c r="G42" i="30"/>
  <c r="AR66" i="30" s="1"/>
  <c r="AC18" i="30"/>
  <c r="I42" i="30"/>
  <c r="AT66" i="30" s="1"/>
  <c r="M9" i="48"/>
  <c r="M7" i="46"/>
  <c r="N8" i="46"/>
  <c r="M17" i="48"/>
  <c r="F42" i="30"/>
  <c r="AQ66" i="30" s="1"/>
  <c r="AP46" i="30"/>
  <c r="H24" i="46"/>
  <c r="J25" i="46"/>
  <c r="C25" i="46"/>
  <c r="E24" i="46"/>
  <c r="G24" i="46"/>
  <c r="G25" i="46"/>
  <c r="L24" i="46"/>
  <c r="D24" i="46"/>
  <c r="I24" i="46"/>
  <c r="E25" i="46"/>
  <c r="J24" i="46"/>
  <c r="L25" i="46"/>
  <c r="D25" i="46"/>
  <c r="B33" i="50"/>
  <c r="B26" i="50"/>
  <c r="K25" i="46"/>
  <c r="F24" i="46"/>
  <c r="K24" i="46"/>
  <c r="H25" i="46"/>
  <c r="C24" i="46"/>
  <c r="I25" i="46"/>
  <c r="F25" i="46"/>
  <c r="J15" i="54"/>
  <c r="AM22" i="30" l="1"/>
  <c r="AR22" i="30" s="1"/>
  <c r="AX22" i="30" s="1"/>
  <c r="AE18" i="30"/>
  <c r="AD18" i="30"/>
  <c r="AE16" i="30"/>
  <c r="AD16" i="30"/>
  <c r="AF9" i="30"/>
  <c r="BS54" i="30"/>
  <c r="D10" i="50"/>
  <c r="BR54" i="30"/>
  <c r="C10" i="50"/>
  <c r="BQ54" i="30"/>
  <c r="AF7" i="30"/>
  <c r="AD7" i="30"/>
  <c r="AF4" i="30"/>
  <c r="AD4" i="30"/>
  <c r="AE10" i="30"/>
  <c r="AD10" i="30"/>
  <c r="AE11" i="30"/>
  <c r="AD11" i="30"/>
  <c r="AE5" i="30"/>
  <c r="AD5" i="30"/>
  <c r="B10" i="50"/>
  <c r="C33" i="50"/>
  <c r="BX56" i="30"/>
  <c r="BZ56" i="30"/>
  <c r="E10" i="50"/>
  <c r="BY56" i="30"/>
  <c r="BW56" i="30"/>
  <c r="BT47" i="30"/>
  <c r="J21" i="53"/>
  <c r="F13" i="50"/>
  <c r="G15" i="54"/>
  <c r="AF18" i="30"/>
  <c r="BX54" i="30"/>
  <c r="C28" i="50" s="1"/>
  <c r="BT46" i="30"/>
  <c r="BR3" i="30"/>
  <c r="BR44" i="30" s="1"/>
  <c r="BY3" i="30"/>
  <c r="AF5" i="30"/>
  <c r="AE17" i="30"/>
  <c r="AE15" i="30"/>
  <c r="BP54" i="30"/>
  <c r="D30" i="46"/>
  <c r="D21" i="46"/>
  <c r="BW54" i="30"/>
  <c r="B28" i="50" s="1"/>
  <c r="CA45" i="30"/>
  <c r="AF15" i="30"/>
  <c r="BY54" i="30"/>
  <c r="D28" i="50" s="1"/>
  <c r="CA47" i="30"/>
  <c r="CA51" i="30"/>
  <c r="AE23" i="30"/>
  <c r="AE9" i="30"/>
  <c r="BZ3" i="30"/>
  <c r="BE37" i="30"/>
  <c r="BE14" i="30"/>
  <c r="BE22" i="30"/>
  <c r="BE3" i="30"/>
  <c r="AF23" i="30"/>
  <c r="AE7" i="30"/>
  <c r="AN3" i="30"/>
  <c r="AS3" i="30" s="1"/>
  <c r="AY3" i="30" s="1"/>
  <c r="E7" i="48"/>
  <c r="BZ54" i="30"/>
  <c r="E28" i="50" s="1"/>
  <c r="AF10" i="30"/>
  <c r="AF17" i="30"/>
  <c r="L5" i="32"/>
  <c r="K32" i="32" s="1"/>
  <c r="E4" i="46"/>
  <c r="E30" i="46" s="1"/>
  <c r="D7" i="50"/>
  <c r="D26" i="50" s="1"/>
  <c r="E6" i="41"/>
  <c r="C41" i="46"/>
  <c r="D39" i="46"/>
  <c r="J39" i="46"/>
  <c r="E39" i="46"/>
  <c r="AE4" i="30"/>
  <c r="H39" i="46"/>
  <c r="G41" i="46"/>
  <c r="L41" i="46"/>
  <c r="K41" i="46"/>
  <c r="I41" i="46"/>
  <c r="J41" i="46"/>
  <c r="C40" i="46"/>
  <c r="CA46" i="30"/>
  <c r="AF11" i="30"/>
  <c r="J34" i="46"/>
  <c r="AF24" i="30"/>
  <c r="AD24" i="30"/>
  <c r="AE40" i="30"/>
  <c r="AG40" i="30" s="1"/>
  <c r="AM40" i="30" s="1"/>
  <c r="BQ40" i="30" s="1"/>
  <c r="J42" i="30"/>
  <c r="H41" i="46"/>
  <c r="H34" i="46"/>
  <c r="G34" i="46"/>
  <c r="F34" i="46"/>
  <c r="K34" i="46"/>
  <c r="E9" i="40"/>
  <c r="F41" i="46"/>
  <c r="AD38" i="30"/>
  <c r="AG38" i="30" s="1"/>
  <c r="AN38" i="30" s="1"/>
  <c r="BR38" i="30" s="1"/>
  <c r="M25" i="46"/>
  <c r="M24" i="46"/>
  <c r="AL37" i="30"/>
  <c r="AQ37" i="30" s="1"/>
  <c r="AW37" i="30" s="1"/>
  <c r="AD34" i="30"/>
  <c r="AE34" i="30"/>
  <c r="AF16" i="30"/>
  <c r="AF19" i="30"/>
  <c r="AF26" i="30"/>
  <c r="AD26" i="30"/>
  <c r="N7" i="46"/>
  <c r="AD39" i="30"/>
  <c r="AG39" i="30" s="1"/>
  <c r="AL39" i="30" s="1"/>
  <c r="BP39" i="30" s="1"/>
  <c r="AF6" i="30"/>
  <c r="AE6" i="30"/>
  <c r="AE19" i="30"/>
  <c r="AM37" i="30"/>
  <c r="AR37" i="30" s="1"/>
  <c r="AX37" i="30" s="1"/>
  <c r="H22" i="30"/>
  <c r="AN14" i="30"/>
  <c r="AS14" i="30" s="1"/>
  <c r="AY14" i="30" s="1"/>
  <c r="M16" i="48"/>
  <c r="L34" i="46"/>
  <c r="BP14" i="30"/>
  <c r="BP22" i="30" s="1"/>
  <c r="BP37" i="30" s="1"/>
  <c r="AE8" i="30"/>
  <c r="AF8" i="30"/>
  <c r="G21" i="40"/>
  <c r="AE25" i="30"/>
  <c r="AF25" i="30"/>
  <c r="AD25" i="30"/>
  <c r="M54" i="30"/>
  <c r="N25" i="46"/>
  <c r="N24" i="46"/>
  <c r="AG9" i="30" l="1"/>
  <c r="AM9" i="30" s="1"/>
  <c r="E21" i="46"/>
  <c r="BT54" i="30"/>
  <c r="F13" i="54"/>
  <c r="F15" i="54" s="1"/>
  <c r="AG17" i="30"/>
  <c r="AN17" i="30" s="1"/>
  <c r="BR17" i="30" s="1"/>
  <c r="AG10" i="30"/>
  <c r="AM10" i="30" s="1"/>
  <c r="G10" i="53" s="1"/>
  <c r="AM38" i="30"/>
  <c r="BQ38" i="30" s="1"/>
  <c r="CA56" i="30"/>
  <c r="F10" i="50"/>
  <c r="E13" i="54" s="1"/>
  <c r="AG18" i="30"/>
  <c r="AN18" i="30" s="1"/>
  <c r="AG7" i="30"/>
  <c r="AO7" i="30" s="1"/>
  <c r="BS7" i="30" s="1"/>
  <c r="J18" i="53"/>
  <c r="F28" i="50"/>
  <c r="AG24" i="30"/>
  <c r="AL24" i="30" s="1"/>
  <c r="BW24" i="30" s="1"/>
  <c r="AG5" i="30"/>
  <c r="AM5" i="30" s="1"/>
  <c r="AG11" i="30"/>
  <c r="AO11" i="30" s="1"/>
  <c r="AG15" i="30"/>
  <c r="AL15" i="30" s="1"/>
  <c r="AG4" i="30"/>
  <c r="AM4" i="30" s="1"/>
  <c r="F4" i="46"/>
  <c r="F21" i="46" s="1"/>
  <c r="AO3" i="30"/>
  <c r="AT3" i="30" s="1"/>
  <c r="AZ3" i="30" s="1"/>
  <c r="AO38" i="30"/>
  <c r="BS38" i="30" s="1"/>
  <c r="D33" i="50"/>
  <c r="AO14" i="30"/>
  <c r="AT14" i="30" s="1"/>
  <c r="AZ14" i="30" s="1"/>
  <c r="BS3" i="30"/>
  <c r="BS44" i="30" s="1"/>
  <c r="AG23" i="30"/>
  <c r="AO23" i="30" s="1"/>
  <c r="BZ23" i="30" s="1"/>
  <c r="F6" i="41"/>
  <c r="BF14" i="30"/>
  <c r="BF37" i="30"/>
  <c r="BF22" i="30"/>
  <c r="BF3" i="30"/>
  <c r="F9" i="40"/>
  <c r="E7" i="50"/>
  <c r="M5" i="32"/>
  <c r="L32" i="32" s="1"/>
  <c r="E12" i="46"/>
  <c r="F7" i="48"/>
  <c r="M39" i="46"/>
  <c r="N39" i="46"/>
  <c r="K31" i="46"/>
  <c r="M41" i="46"/>
  <c r="N41" i="46"/>
  <c r="I31" i="46"/>
  <c r="I35" i="46"/>
  <c r="J31" i="46"/>
  <c r="J35" i="46"/>
  <c r="I34" i="46"/>
  <c r="M34" i="46" s="1"/>
  <c r="K35" i="46"/>
  <c r="L31" i="46"/>
  <c r="L35" i="46"/>
  <c r="H31" i="46"/>
  <c r="H35" i="46"/>
  <c r="G31" i="46"/>
  <c r="G35" i="46"/>
  <c r="F31" i="46"/>
  <c r="F35" i="46"/>
  <c r="C31" i="46"/>
  <c r="C35" i="46"/>
  <c r="E31" i="46"/>
  <c r="E35" i="46"/>
  <c r="E34" i="46"/>
  <c r="C34" i="46"/>
  <c r="CA54" i="30"/>
  <c r="AH38" i="30"/>
  <c r="AL38" i="30"/>
  <c r="AG16" i="30"/>
  <c r="AN16" i="30" s="1"/>
  <c r="BR16" i="30" s="1"/>
  <c r="AG34" i="30"/>
  <c r="BQ14" i="30"/>
  <c r="BQ22" i="30" s="1"/>
  <c r="BQ37" i="30" s="1"/>
  <c r="AL44" i="30"/>
  <c r="BX14" i="30"/>
  <c r="BX22" i="30" s="1"/>
  <c r="BX37" i="30" s="1"/>
  <c r="BX44" i="30" s="1"/>
  <c r="AL40" i="30"/>
  <c r="AG19" i="30"/>
  <c r="AO40" i="30"/>
  <c r="BS40" i="30" s="1"/>
  <c r="AG25" i="30"/>
  <c r="AM25" i="30" s="1"/>
  <c r="BX25" i="30" s="1"/>
  <c r="AN40" i="30"/>
  <c r="BR40" i="30" s="1"/>
  <c r="AH40" i="30"/>
  <c r="AH39" i="30"/>
  <c r="AG26" i="30"/>
  <c r="AL26" i="30" s="1"/>
  <c r="BW26" i="30" s="1"/>
  <c r="AG8" i="30"/>
  <c r="AN8" i="30" s="1"/>
  <c r="BR8" i="30" s="1"/>
  <c r="AO39" i="30"/>
  <c r="BS39" i="30" s="1"/>
  <c r="AP54" i="30"/>
  <c r="AG6" i="30"/>
  <c r="AN39" i="30"/>
  <c r="BR39" i="30" s="1"/>
  <c r="AM39" i="30"/>
  <c r="BQ39" i="30" s="1"/>
  <c r="BR14" i="30"/>
  <c r="BR22" i="30" s="1"/>
  <c r="BR37" i="30" s="1"/>
  <c r="AM44" i="30"/>
  <c r="H37" i="30"/>
  <c r="AN22" i="30"/>
  <c r="AS22" i="30" s="1"/>
  <c r="AY22" i="30" s="1"/>
  <c r="BW14" i="30"/>
  <c r="BW22" i="30" s="1"/>
  <c r="BW37" i="30" s="1"/>
  <c r="BW44" i="30" s="1"/>
  <c r="D34" i="46"/>
  <c r="AL34" i="30" l="1"/>
  <c r="BW34" i="30" s="1"/>
  <c r="AN34" i="30"/>
  <c r="BY34" i="30" s="1"/>
  <c r="AO34" i="30"/>
  <c r="BZ34" i="30" s="1"/>
  <c r="AM34" i="30"/>
  <c r="BX34" i="30" s="1"/>
  <c r="AN9" i="30"/>
  <c r="BR9" i="30" s="1"/>
  <c r="AL9" i="30"/>
  <c r="BP9" i="30" s="1"/>
  <c r="AH9" i="30"/>
  <c r="AI9" i="30" s="1"/>
  <c r="AO9" i="30"/>
  <c r="BS9" i="30" s="1"/>
  <c r="AN10" i="30"/>
  <c r="H10" i="53" s="1"/>
  <c r="AO10" i="30"/>
  <c r="I10" i="53" s="1"/>
  <c r="AL10" i="30"/>
  <c r="F10" i="53" s="1"/>
  <c r="BS11" i="30"/>
  <c r="BR18" i="30"/>
  <c r="AL17" i="30"/>
  <c r="BP17" i="30" s="1"/>
  <c r="AO17" i="30"/>
  <c r="BS17" i="30" s="1"/>
  <c r="AM17" i="30"/>
  <c r="BQ17" i="30" s="1"/>
  <c r="AH17" i="30"/>
  <c r="AI17" i="30" s="1"/>
  <c r="AH18" i="30"/>
  <c r="AI18" i="30" s="1"/>
  <c r="AL7" i="30"/>
  <c r="BP7" i="30" s="1"/>
  <c r="BP38" i="30"/>
  <c r="AN24" i="30"/>
  <c r="BY24" i="30" s="1"/>
  <c r="AN7" i="30"/>
  <c r="BR7" i="30" s="1"/>
  <c r="AL18" i="30"/>
  <c r="BP18" i="30" s="1"/>
  <c r="AM18" i="30"/>
  <c r="AL5" i="30"/>
  <c r="AH10" i="30"/>
  <c r="AI10" i="30" s="1"/>
  <c r="AM7" i="30"/>
  <c r="BQ7" i="30" s="1"/>
  <c r="AN11" i="30"/>
  <c r="AH4" i="30"/>
  <c r="AI4" i="30" s="1"/>
  <c r="AN4" i="30"/>
  <c r="AL11" i="30"/>
  <c r="AL4" i="30"/>
  <c r="AM24" i="30"/>
  <c r="BX24" i="30" s="1"/>
  <c r="AO24" i="30"/>
  <c r="BZ24" i="30" s="1"/>
  <c r="AO5" i="30"/>
  <c r="AH11" i="30"/>
  <c r="AI11" i="30" s="1"/>
  <c r="AO4" i="30"/>
  <c r="AN5" i="30"/>
  <c r="AO18" i="30"/>
  <c r="AH5" i="30"/>
  <c r="AI5" i="30" s="1"/>
  <c r="AN15" i="30"/>
  <c r="AL23" i="30"/>
  <c r="BW23" i="30" s="1"/>
  <c r="AM15" i="30"/>
  <c r="AO15" i="30"/>
  <c r="AN23" i="30"/>
  <c r="BY23" i="30" s="1"/>
  <c r="AM23" i="30"/>
  <c r="BX23" i="30" s="1"/>
  <c r="AH23" i="30"/>
  <c r="AI23" i="30" s="1"/>
  <c r="AH15" i="30"/>
  <c r="AI15" i="30" s="1"/>
  <c r="AH24" i="30"/>
  <c r="AI24" i="30" s="1"/>
  <c r="AH7" i="30"/>
  <c r="AI7" i="30" s="1"/>
  <c r="AM11" i="30"/>
  <c r="I22" i="30"/>
  <c r="F30" i="46"/>
  <c r="F12" i="46"/>
  <c r="BS14" i="30"/>
  <c r="BS22" i="30" s="1"/>
  <c r="BS37" i="30" s="1"/>
  <c r="AM16" i="30"/>
  <c r="BQ16" i="30" s="1"/>
  <c r="AO16" i="30"/>
  <c r="BS16" i="30" s="1"/>
  <c r="AH16" i="30"/>
  <c r="AI16" i="30" s="1"/>
  <c r="AL16" i="30"/>
  <c r="BP16" i="30" s="1"/>
  <c r="BQ10" i="30"/>
  <c r="E15" i="54"/>
  <c r="BQ9" i="30"/>
  <c r="M35" i="46"/>
  <c r="N5" i="32"/>
  <c r="M32" i="32" s="1"/>
  <c r="G4" i="46"/>
  <c r="G7" i="48"/>
  <c r="E33" i="50"/>
  <c r="E26" i="50"/>
  <c r="BZ14" i="30"/>
  <c r="BZ22" i="30" s="1"/>
  <c r="BZ37" i="30" s="1"/>
  <c r="BZ44" i="30" s="1"/>
  <c r="AH34" i="30"/>
  <c r="AI34" i="30" s="1"/>
  <c r="BS41" i="30"/>
  <c r="M31" i="46"/>
  <c r="BR41" i="30"/>
  <c r="D31" i="46"/>
  <c r="D35" i="46"/>
  <c r="N35" i="46" s="1"/>
  <c r="AL41" i="30"/>
  <c r="BP40" i="30"/>
  <c r="BQ5" i="30"/>
  <c r="AO41" i="30"/>
  <c r="BP15" i="30"/>
  <c r="BQ4" i="30"/>
  <c r="AN26" i="30"/>
  <c r="BY26" i="30" s="1"/>
  <c r="AN41" i="30"/>
  <c r="AL19" i="30"/>
  <c r="AO26" i="30"/>
  <c r="BZ26" i="30" s="1"/>
  <c r="AN19" i="30"/>
  <c r="BR19" i="30" s="1"/>
  <c r="AH19" i="30"/>
  <c r="AI19" i="30" s="1"/>
  <c r="AM19" i="30"/>
  <c r="G9" i="53" s="1"/>
  <c r="AM26" i="30"/>
  <c r="AO19" i="30"/>
  <c r="AL25" i="30"/>
  <c r="AH25" i="30"/>
  <c r="AI25" i="30" s="1"/>
  <c r="AN25" i="30"/>
  <c r="BY25" i="30" s="1"/>
  <c r="AO25" i="30"/>
  <c r="BZ25" i="30" s="1"/>
  <c r="AH26" i="30"/>
  <c r="AI26" i="30" s="1"/>
  <c r="AH8" i="30"/>
  <c r="AI8" i="30" s="1"/>
  <c r="AL8" i="30"/>
  <c r="AO8" i="30"/>
  <c r="BS8" i="30" s="1"/>
  <c r="AM8" i="30"/>
  <c r="AL6" i="30"/>
  <c r="AM6" i="30"/>
  <c r="BQ6" i="30" s="1"/>
  <c r="AH6" i="30"/>
  <c r="AI6" i="30" s="1"/>
  <c r="AN6" i="30"/>
  <c r="AO6" i="30"/>
  <c r="BS6" i="30" s="1"/>
  <c r="AM41" i="30"/>
  <c r="AN37" i="30"/>
  <c r="AS37" i="30" s="1"/>
  <c r="AY37" i="30" s="1"/>
  <c r="BY14" i="30"/>
  <c r="BY22" i="30" s="1"/>
  <c r="BY37" i="30" s="1"/>
  <c r="BY44" i="30" s="1"/>
  <c r="N31" i="46"/>
  <c r="N34" i="46"/>
  <c r="G7" i="53" l="1"/>
  <c r="BR15" i="30"/>
  <c r="BS15" i="30"/>
  <c r="F7" i="53"/>
  <c r="F9" i="53"/>
  <c r="I9" i="53"/>
  <c r="I11" i="53"/>
  <c r="BR10" i="30"/>
  <c r="BS10" i="30"/>
  <c r="BP10" i="30"/>
  <c r="I7" i="53"/>
  <c r="F11" i="53"/>
  <c r="H11" i="53"/>
  <c r="H7" i="53"/>
  <c r="H9" i="53"/>
  <c r="G11" i="53"/>
  <c r="F8" i="53"/>
  <c r="H8" i="53"/>
  <c r="I8" i="53"/>
  <c r="G8" i="53"/>
  <c r="BR11" i="30"/>
  <c r="BQ11" i="30"/>
  <c r="BR4" i="30"/>
  <c r="BS4" i="30"/>
  <c r="BP11" i="30"/>
  <c r="BS18" i="30"/>
  <c r="BQ18" i="30"/>
  <c r="J10" i="53"/>
  <c r="BS5" i="30"/>
  <c r="BR5" i="30"/>
  <c r="BP5" i="30"/>
  <c r="BP4" i="30"/>
  <c r="BQ15" i="30"/>
  <c r="AN20" i="30"/>
  <c r="E15" i="40" s="1"/>
  <c r="AO22" i="30"/>
  <c r="AT22" i="30" s="1"/>
  <c r="AZ22" i="30" s="1"/>
  <c r="I37" i="30"/>
  <c r="G12" i="46"/>
  <c r="G21" i="46"/>
  <c r="G30" i="46"/>
  <c r="H4" i="46"/>
  <c r="H7" i="48"/>
  <c r="O5" i="32"/>
  <c r="N32" i="32" s="1"/>
  <c r="G37" i="46"/>
  <c r="G36" i="46" s="1"/>
  <c r="G38" i="46" s="1"/>
  <c r="G42" i="46" s="1"/>
  <c r="G33" i="46"/>
  <c r="G32" i="46"/>
  <c r="BY35" i="30"/>
  <c r="D27" i="50" s="1"/>
  <c r="D29" i="50" s="1"/>
  <c r="AR64" i="30"/>
  <c r="AR65" i="30" s="1"/>
  <c r="BQ19" i="30"/>
  <c r="AQ64" i="30"/>
  <c r="AQ65" i="30" s="1"/>
  <c r="BP19" i="30"/>
  <c r="BP20" i="30" s="1"/>
  <c r="AN12" i="30"/>
  <c r="E14" i="40" s="1"/>
  <c r="BR6" i="30"/>
  <c r="AT64" i="30"/>
  <c r="BS19" i="30"/>
  <c r="BP41" i="30"/>
  <c r="BQ8" i="30"/>
  <c r="BP8" i="30"/>
  <c r="AN35" i="30"/>
  <c r="E16" i="40" s="1"/>
  <c r="BP6" i="30"/>
  <c r="G26" i="46"/>
  <c r="BZ35" i="30"/>
  <c r="E27" i="50" s="1"/>
  <c r="BR20" i="30"/>
  <c r="BO56" i="30"/>
  <c r="AL35" i="30"/>
  <c r="BW25" i="30"/>
  <c r="AM35" i="30"/>
  <c r="D16" i="40" s="1"/>
  <c r="BX26" i="30"/>
  <c r="C37" i="46"/>
  <c r="BQ41" i="30"/>
  <c r="AL20" i="30"/>
  <c r="C15" i="40" s="1"/>
  <c r="AM20" i="30"/>
  <c r="D15" i="40" s="1"/>
  <c r="AO20" i="30"/>
  <c r="F15" i="40" s="1"/>
  <c r="AO35" i="30"/>
  <c r="AS64" i="30"/>
  <c r="AL12" i="30"/>
  <c r="AO12" i="30"/>
  <c r="AM12" i="30"/>
  <c r="N40" i="46"/>
  <c r="AN44" i="30"/>
  <c r="AU64" i="30" l="1"/>
  <c r="AS65" i="30"/>
  <c r="BS12" i="30"/>
  <c r="BQ12" i="30"/>
  <c r="BR12" i="30"/>
  <c r="D8" i="50" s="1"/>
  <c r="D19" i="50" s="1"/>
  <c r="J9" i="53"/>
  <c r="J7" i="53"/>
  <c r="G12" i="53"/>
  <c r="G19" i="53" s="1"/>
  <c r="H12" i="53"/>
  <c r="H19" i="53" s="1"/>
  <c r="BS20" i="30"/>
  <c r="BS56" i="30"/>
  <c r="BS57" i="30" s="1"/>
  <c r="BR56" i="30"/>
  <c r="BR57" i="30" s="1"/>
  <c r="E13" i="48"/>
  <c r="C14" i="40"/>
  <c r="AL57" i="30"/>
  <c r="AL58" i="30" s="1"/>
  <c r="AK54" i="30"/>
  <c r="BQ56" i="30"/>
  <c r="BQ57" i="30" s="1"/>
  <c r="BP56" i="30"/>
  <c r="BP57" i="30" s="1"/>
  <c r="D12" i="48"/>
  <c r="D14" i="40"/>
  <c r="F12" i="48"/>
  <c r="F14" i="40"/>
  <c r="C16" i="40"/>
  <c r="I12" i="53"/>
  <c r="I19" i="53" s="1"/>
  <c r="AO37" i="30"/>
  <c r="AT37" i="30" s="1"/>
  <c r="AZ37" i="30" s="1"/>
  <c r="J8" i="53"/>
  <c r="F12" i="53"/>
  <c r="F19" i="53" s="1"/>
  <c r="J11" i="53"/>
  <c r="BY42" i="30"/>
  <c r="E12" i="48"/>
  <c r="H21" i="46"/>
  <c r="H12" i="46"/>
  <c r="H30" i="46"/>
  <c r="I7" i="48"/>
  <c r="P5" i="32"/>
  <c r="O32" i="32" s="1"/>
  <c r="I4" i="46"/>
  <c r="BQ20" i="30"/>
  <c r="BZ42" i="30"/>
  <c r="D26" i="46"/>
  <c r="C33" i="46"/>
  <c r="BP12" i="30"/>
  <c r="AN42" i="30"/>
  <c r="AS67" i="30" s="1"/>
  <c r="AS68" i="30" s="1"/>
  <c r="AS69" i="30" s="1"/>
  <c r="AS70" i="30" s="1"/>
  <c r="AS62" i="30" s="1"/>
  <c r="E26" i="46"/>
  <c r="F33" i="46"/>
  <c r="E37" i="46"/>
  <c r="E36" i="46" s="1"/>
  <c r="E38" i="46" s="1"/>
  <c r="E42" i="46" s="1"/>
  <c r="D33" i="46"/>
  <c r="F37" i="46"/>
  <c r="F36" i="46" s="1"/>
  <c r="F38" i="46" s="1"/>
  <c r="F42" i="46" s="1"/>
  <c r="C32" i="46"/>
  <c r="D32" i="46"/>
  <c r="E32" i="46"/>
  <c r="F32" i="46"/>
  <c r="D37" i="46"/>
  <c r="D36" i="46" s="1"/>
  <c r="D38" i="46" s="1"/>
  <c r="D42" i="46" s="1"/>
  <c r="E33" i="46"/>
  <c r="G43" i="46"/>
  <c r="G8" i="48"/>
  <c r="F26" i="46"/>
  <c r="E29" i="50"/>
  <c r="C13" i="48"/>
  <c r="D13" i="48"/>
  <c r="BX35" i="30"/>
  <c r="BW35" i="30"/>
  <c r="B27" i="50" s="1"/>
  <c r="C26" i="46"/>
  <c r="F16" i="40"/>
  <c r="C12" i="48"/>
  <c r="AL42" i="30"/>
  <c r="AQ67" i="30" s="1"/>
  <c r="F13" i="48"/>
  <c r="AO42" i="30"/>
  <c r="AT67" i="30" s="1"/>
  <c r="AT68" i="30" s="1"/>
  <c r="AT69" i="30" s="1"/>
  <c r="AT70" i="30" s="1"/>
  <c r="AT62" i="30" s="1"/>
  <c r="G13" i="48"/>
  <c r="G12" i="48"/>
  <c r="AM42" i="30"/>
  <c r="AR67" i="30" s="1"/>
  <c r="AQ68" i="30" l="1"/>
  <c r="AQ69" i="30" s="1"/>
  <c r="AQ70" i="30" s="1"/>
  <c r="AQ62" i="30" s="1"/>
  <c r="AR68" i="30"/>
  <c r="AR69" i="30" s="1"/>
  <c r="AR70" i="30" s="1"/>
  <c r="AR62" i="30" s="1"/>
  <c r="AU67" i="30"/>
  <c r="AU68" i="30" s="1"/>
  <c r="BR42" i="30"/>
  <c r="E8" i="50"/>
  <c r="E19" i="50" s="1"/>
  <c r="BQ42" i="30"/>
  <c r="BS42" i="30"/>
  <c r="D15" i="50"/>
  <c r="D18" i="50" s="1"/>
  <c r="H20" i="53" s="1"/>
  <c r="BP42" i="30"/>
  <c r="B8" i="50"/>
  <c r="B19" i="50" s="1"/>
  <c r="C8" i="50"/>
  <c r="C19" i="50" s="1"/>
  <c r="E43" i="46"/>
  <c r="D43" i="46"/>
  <c r="AO44" i="30"/>
  <c r="J19" i="53"/>
  <c r="J12" i="53"/>
  <c r="J7" i="48"/>
  <c r="Q5" i="32"/>
  <c r="P32" i="32" s="1"/>
  <c r="J4" i="46"/>
  <c r="I12" i="46"/>
  <c r="I21" i="46"/>
  <c r="I30" i="46"/>
  <c r="H33" i="46"/>
  <c r="H32" i="46"/>
  <c r="F43" i="46"/>
  <c r="H37" i="46"/>
  <c r="H13" i="48"/>
  <c r="H12" i="48"/>
  <c r="H26" i="46"/>
  <c r="BW42" i="30"/>
  <c r="BX42" i="30"/>
  <c r="C27" i="50"/>
  <c r="C29" i="50" s="1"/>
  <c r="C36" i="46"/>
  <c r="AU62" i="30" l="1"/>
  <c r="G61" i="30" s="1"/>
  <c r="E15" i="50"/>
  <c r="E18" i="50" s="1"/>
  <c r="D20" i="50"/>
  <c r="D21" i="50" s="1"/>
  <c r="D23" i="50" s="1"/>
  <c r="E7" i="41" s="1"/>
  <c r="H56" i="30" s="1"/>
  <c r="I20" i="53"/>
  <c r="I23" i="53" s="1"/>
  <c r="I24" i="53" s="1"/>
  <c r="C15" i="50"/>
  <c r="C18" i="50" s="1"/>
  <c r="G20" i="53" s="1"/>
  <c r="G23" i="53" s="1"/>
  <c r="G24" i="53" s="1"/>
  <c r="F8" i="50"/>
  <c r="D13" i="54" s="1"/>
  <c r="H23" i="53"/>
  <c r="H24" i="53" s="1"/>
  <c r="B15" i="50"/>
  <c r="B18" i="50" s="1"/>
  <c r="B29" i="50"/>
  <c r="F27" i="50"/>
  <c r="R5" i="32"/>
  <c r="Q32" i="32" s="1"/>
  <c r="K7" i="48"/>
  <c r="K4" i="46"/>
  <c r="J21" i="46"/>
  <c r="J30" i="46"/>
  <c r="J12" i="46"/>
  <c r="H8" i="48"/>
  <c r="H36" i="46"/>
  <c r="H38" i="46" s="1"/>
  <c r="H42" i="46" s="1"/>
  <c r="H43" i="46" s="1"/>
  <c r="I12" i="48"/>
  <c r="I13" i="48"/>
  <c r="C38" i="46"/>
  <c r="C42" i="46" s="1"/>
  <c r="C43" i="46" s="1"/>
  <c r="AQ28" i="30" l="1"/>
  <c r="AQ30" i="30"/>
  <c r="AQ33" i="30"/>
  <c r="AR28" i="30"/>
  <c r="BD28" i="30" s="1"/>
  <c r="AR30" i="30"/>
  <c r="BD30" i="30" s="1"/>
  <c r="AR31" i="30"/>
  <c r="BD31" i="30" s="1"/>
  <c r="AR33" i="30"/>
  <c r="BD33" i="30" s="1"/>
  <c r="AS28" i="30"/>
  <c r="BE28" i="30" s="1"/>
  <c r="AS30" i="30"/>
  <c r="BE30" i="30" s="1"/>
  <c r="AS31" i="30"/>
  <c r="BE31" i="30" s="1"/>
  <c r="AS33" i="30"/>
  <c r="BE33" i="30" s="1"/>
  <c r="AT28" i="30"/>
  <c r="BF28" i="30" s="1"/>
  <c r="AT31" i="30"/>
  <c r="BF31" i="30" s="1"/>
  <c r="AT30" i="30"/>
  <c r="BF30" i="30" s="1"/>
  <c r="AT33" i="30"/>
  <c r="BF33" i="30" s="1"/>
  <c r="AQ27" i="30"/>
  <c r="AQ29" i="30"/>
  <c r="AQ32" i="30"/>
  <c r="AR27" i="30"/>
  <c r="BD27" i="30" s="1"/>
  <c r="AR29" i="30"/>
  <c r="BD29" i="30" s="1"/>
  <c r="AR32" i="30"/>
  <c r="BD32" i="30" s="1"/>
  <c r="AT29" i="30"/>
  <c r="BF29" i="30" s="1"/>
  <c r="AT32" i="30"/>
  <c r="BF32" i="30" s="1"/>
  <c r="AS27" i="30"/>
  <c r="BE27" i="30" s="1"/>
  <c r="AS29" i="30"/>
  <c r="BE29" i="30" s="1"/>
  <c r="AS32" i="30"/>
  <c r="BE32" i="30" s="1"/>
  <c r="AT27" i="30"/>
  <c r="BF27" i="30" s="1"/>
  <c r="AQ31" i="30"/>
  <c r="I13" i="54"/>
  <c r="K13" i="54" s="1"/>
  <c r="M13" i="54" s="1"/>
  <c r="D35" i="50"/>
  <c r="E20" i="50"/>
  <c r="E21" i="50" s="1"/>
  <c r="E35" i="50" s="1"/>
  <c r="C20" i="50"/>
  <c r="C21" i="50" s="1"/>
  <c r="C23" i="50" s="1"/>
  <c r="E9" i="41"/>
  <c r="BK5" i="30" s="1"/>
  <c r="AY62" i="30"/>
  <c r="F18" i="50"/>
  <c r="E23" i="46"/>
  <c r="G23" i="46"/>
  <c r="S5" i="32"/>
  <c r="R32" i="32" s="1"/>
  <c r="L4" i="46"/>
  <c r="L7" i="48"/>
  <c r="K21" i="46"/>
  <c r="K30" i="46"/>
  <c r="K12" i="46"/>
  <c r="I33" i="46"/>
  <c r="I32" i="46"/>
  <c r="I37" i="46"/>
  <c r="J26" i="46"/>
  <c r="BT18" i="30"/>
  <c r="BT40" i="30"/>
  <c r="K34" i="30"/>
  <c r="BT7" i="30"/>
  <c r="K4" i="30"/>
  <c r="BT9" i="30"/>
  <c r="K11" i="30"/>
  <c r="BT16" i="30"/>
  <c r="BT39" i="30"/>
  <c r="BT10" i="30"/>
  <c r="K23" i="30"/>
  <c r="BT5" i="30"/>
  <c r="K24" i="30"/>
  <c r="K26" i="30"/>
  <c r="K25" i="30"/>
  <c r="BT6" i="30"/>
  <c r="J12" i="48"/>
  <c r="J13" i="48"/>
  <c r="I26" i="46"/>
  <c r="L32" i="30" l="1"/>
  <c r="M32" i="30" s="1"/>
  <c r="L31" i="30"/>
  <c r="M31" i="30" s="1"/>
  <c r="L29" i="30"/>
  <c r="M29" i="30" s="1"/>
  <c r="L33" i="30"/>
  <c r="M33" i="30" s="1"/>
  <c r="L27" i="30"/>
  <c r="M27" i="30" s="1"/>
  <c r="L30" i="30"/>
  <c r="M30" i="30" s="1"/>
  <c r="L28" i="30"/>
  <c r="M28" i="30" s="1"/>
  <c r="BC27" i="30"/>
  <c r="BC29" i="30"/>
  <c r="BC33" i="30"/>
  <c r="BC31" i="30"/>
  <c r="BC32" i="30"/>
  <c r="BC30" i="30"/>
  <c r="BC28" i="30"/>
  <c r="D7" i="41"/>
  <c r="G56" i="30" s="1"/>
  <c r="AY39" i="30"/>
  <c r="AY38" i="30"/>
  <c r="AY40" i="30"/>
  <c r="E23" i="50"/>
  <c r="F7" i="41" s="1"/>
  <c r="C35" i="50"/>
  <c r="B20" i="50"/>
  <c r="B21" i="50" s="1"/>
  <c r="F20" i="53"/>
  <c r="F23" i="53" s="1"/>
  <c r="E8" i="48"/>
  <c r="E10" i="40"/>
  <c r="F19" i="50"/>
  <c r="L12" i="46"/>
  <c r="L21" i="46"/>
  <c r="L30" i="46"/>
  <c r="J32" i="46"/>
  <c r="M32" i="46" s="1"/>
  <c r="J33" i="46"/>
  <c r="M33" i="46" s="1"/>
  <c r="J37" i="46"/>
  <c r="M37" i="46" s="1"/>
  <c r="K38" i="30"/>
  <c r="K8" i="30"/>
  <c r="BT8" i="30"/>
  <c r="K19" i="30"/>
  <c r="BT19" i="30"/>
  <c r="K17" i="30"/>
  <c r="BT17" i="30"/>
  <c r="J8" i="48"/>
  <c r="BT11" i="30"/>
  <c r="BT15" i="30"/>
  <c r="K13" i="48"/>
  <c r="I36" i="46"/>
  <c r="K12" i="48"/>
  <c r="CA25" i="30"/>
  <c r="AP35" i="30"/>
  <c r="K39" i="30"/>
  <c r="AP12" i="30"/>
  <c r="CA34" i="30"/>
  <c r="K18" i="30"/>
  <c r="M26" i="46"/>
  <c r="K6" i="30"/>
  <c r="CA26" i="30"/>
  <c r="K5" i="30"/>
  <c r="K16" i="30"/>
  <c r="K9" i="30"/>
  <c r="K15" i="30"/>
  <c r="K40" i="30"/>
  <c r="AP41" i="30"/>
  <c r="CA24" i="30"/>
  <c r="K35" i="30"/>
  <c r="K7" i="30"/>
  <c r="K10" i="30"/>
  <c r="D23" i="46" l="1"/>
  <c r="D9" i="41"/>
  <c r="BJ5" i="30" s="1"/>
  <c r="AX62" i="30"/>
  <c r="D8" i="48"/>
  <c r="D10" i="40"/>
  <c r="I56" i="30"/>
  <c r="F9" i="41"/>
  <c r="BL5" i="30" s="1"/>
  <c r="F23" i="46"/>
  <c r="B35" i="50"/>
  <c r="F35" i="50" s="1"/>
  <c r="B23" i="50"/>
  <c r="F20" i="50"/>
  <c r="F21" i="50"/>
  <c r="J20" i="53"/>
  <c r="I23" i="46"/>
  <c r="J23" i="46"/>
  <c r="J36" i="46"/>
  <c r="J38" i="46" s="1"/>
  <c r="J42" i="46" s="1"/>
  <c r="J43" i="46" s="1"/>
  <c r="K32" i="46"/>
  <c r="K33" i="46"/>
  <c r="BT12" i="30"/>
  <c r="BT38" i="30"/>
  <c r="K26" i="46"/>
  <c r="BT4" i="30"/>
  <c r="K20" i="30"/>
  <c r="K37" i="46"/>
  <c r="K12" i="30"/>
  <c r="K41" i="30"/>
  <c r="CA23" i="30"/>
  <c r="G15" i="40"/>
  <c r="L13" i="48"/>
  <c r="M13" i="48" s="1"/>
  <c r="AP20" i="30"/>
  <c r="G14" i="40"/>
  <c r="L12" i="48"/>
  <c r="M12" i="48" s="1"/>
  <c r="G16" i="40"/>
  <c r="I8" i="48"/>
  <c r="I38" i="46"/>
  <c r="I42" i="46" s="1"/>
  <c r="I43" i="46" s="1"/>
  <c r="K21" i="30" l="1"/>
  <c r="C7" i="41"/>
  <c r="C9" i="41" s="1"/>
  <c r="BI5" i="30" s="1"/>
  <c r="AX38" i="30"/>
  <c r="AX39" i="30"/>
  <c r="AX40" i="30"/>
  <c r="AZ62" i="30"/>
  <c r="F8" i="48"/>
  <c r="F10" i="40"/>
  <c r="F23" i="50"/>
  <c r="BT41" i="30"/>
  <c r="BT56" i="30"/>
  <c r="F24" i="53"/>
  <c r="J24" i="53" s="1"/>
  <c r="J23" i="53"/>
  <c r="CA35" i="30"/>
  <c r="CA42" i="30" s="1"/>
  <c r="M36" i="46"/>
  <c r="M38" i="46" s="1"/>
  <c r="M42" i="46" s="1"/>
  <c r="L33" i="46"/>
  <c r="N33" i="46" s="1"/>
  <c r="L32" i="46"/>
  <c r="N32" i="46" s="1"/>
  <c r="L37" i="46"/>
  <c r="N37" i="46" s="1"/>
  <c r="L26" i="46"/>
  <c r="N26" i="46" s="1"/>
  <c r="K42" i="30"/>
  <c r="L8" i="48"/>
  <c r="BT20" i="30"/>
  <c r="K36" i="46"/>
  <c r="AP42" i="30"/>
  <c r="C23" i="46" l="1"/>
  <c r="F56" i="30"/>
  <c r="BT42" i="30"/>
  <c r="BM44" i="30" s="1"/>
  <c r="AZ38" i="30"/>
  <c r="AZ39" i="30"/>
  <c r="AZ40" i="30"/>
  <c r="L23" i="46"/>
  <c r="L36" i="46"/>
  <c r="L38" i="46" s="1"/>
  <c r="L42" i="46" s="1"/>
  <c r="L43" i="46" s="1"/>
  <c r="K38" i="46"/>
  <c r="K42" i="46" s="1"/>
  <c r="K43" i="46" s="1"/>
  <c r="N36" i="46"/>
  <c r="N38" i="46" s="1"/>
  <c r="N42" i="46" s="1"/>
  <c r="N43" i="46" s="1"/>
  <c r="K8" i="48"/>
  <c r="F29" i="50"/>
  <c r="C8" i="48" l="1"/>
  <c r="M8" i="48" s="1"/>
  <c r="J21" i="30"/>
  <c r="AW62" i="30"/>
  <c r="C10" i="40"/>
  <c r="G10" i="40" s="1"/>
  <c r="M56" i="30"/>
  <c r="G62" i="30" s="1"/>
  <c r="AR25" i="30" s="1"/>
  <c r="F15" i="50"/>
  <c r="AZ16" i="30" l="1"/>
  <c r="AZ18" i="30"/>
  <c r="AW17" i="30"/>
  <c r="AW19" i="30"/>
  <c r="AZ17" i="30"/>
  <c r="AZ19" i="30"/>
  <c r="AW16" i="30"/>
  <c r="AW18" i="30"/>
  <c r="AX16" i="30"/>
  <c r="AY18" i="30"/>
  <c r="AX17" i="30"/>
  <c r="AX19" i="30"/>
  <c r="AY17" i="30"/>
  <c r="AY19" i="30"/>
  <c r="AX18" i="30"/>
  <c r="AY16" i="30"/>
  <c r="AW15" i="30"/>
  <c r="AX15" i="30"/>
  <c r="AZ15" i="30"/>
  <c r="AY15" i="30"/>
  <c r="AW40" i="30"/>
  <c r="AW5" i="30"/>
  <c r="AW7" i="30"/>
  <c r="AW9" i="30"/>
  <c r="AW11" i="30"/>
  <c r="AY4" i="30"/>
  <c r="AZ6" i="30"/>
  <c r="AX5" i="30"/>
  <c r="AX7" i="30"/>
  <c r="AX9" i="30"/>
  <c r="AX11" i="30"/>
  <c r="AX10" i="30"/>
  <c r="AZ10" i="30"/>
  <c r="AY5" i="30"/>
  <c r="AY7" i="30"/>
  <c r="AY9" i="30"/>
  <c r="AY11" i="30"/>
  <c r="AZ5" i="30"/>
  <c r="AZ7" i="30"/>
  <c r="AZ9" i="30"/>
  <c r="AZ11" i="30"/>
  <c r="AW6" i="30"/>
  <c r="AW8" i="30"/>
  <c r="AW10" i="30"/>
  <c r="AX4" i="30"/>
  <c r="AX6" i="30"/>
  <c r="AX8" i="30"/>
  <c r="AZ8" i="30"/>
  <c r="AY6" i="30"/>
  <c r="AY8" i="30"/>
  <c r="AY10" i="30"/>
  <c r="AZ4" i="30"/>
  <c r="AW4" i="30"/>
  <c r="AS4" i="30"/>
  <c r="AS25" i="30"/>
  <c r="AR6" i="30"/>
  <c r="AQ40" i="30"/>
  <c r="AS39" i="30"/>
  <c r="AR11" i="30"/>
  <c r="AS38" i="30"/>
  <c r="AT38" i="30"/>
  <c r="AT39" i="30"/>
  <c r="AQ38" i="30"/>
  <c r="AT26" i="30"/>
  <c r="AQ6" i="30"/>
  <c r="AS8" i="30"/>
  <c r="AQ7" i="30"/>
  <c r="AT40" i="30"/>
  <c r="AQ18" i="30"/>
  <c r="AR26" i="30"/>
  <c r="AT4" i="30"/>
  <c r="AT15" i="30"/>
  <c r="AQ19" i="30"/>
  <c r="AT23" i="30"/>
  <c r="AQ34" i="30"/>
  <c r="AR40" i="30"/>
  <c r="AS17" i="30"/>
  <c r="AS16" i="30"/>
  <c r="AR23" i="30"/>
  <c r="AS24" i="30"/>
  <c r="AR38" i="30"/>
  <c r="AQ26" i="30"/>
  <c r="AS40" i="30"/>
  <c r="AS9" i="30"/>
  <c r="AR9" i="30"/>
  <c r="AT9" i="30"/>
  <c r="AR18" i="30"/>
  <c r="AQ15" i="30"/>
  <c r="AQ4" i="30"/>
  <c r="AQ39" i="30"/>
  <c r="AT10" i="30"/>
  <c r="AR24" i="30"/>
  <c r="AT5" i="30"/>
  <c r="AR34" i="30"/>
  <c r="AS18" i="30"/>
  <c r="AT16" i="30"/>
  <c r="AQ16" i="30"/>
  <c r="AT6" i="30"/>
  <c r="AT17" i="30"/>
  <c r="AQ11" i="30"/>
  <c r="AR17" i="30"/>
  <c r="AQ23" i="30"/>
  <c r="AT18" i="30"/>
  <c r="AR19" i="30"/>
  <c r="AQ24" i="30"/>
  <c r="AS7" i="30"/>
  <c r="AR8" i="30"/>
  <c r="AT25" i="30"/>
  <c r="AQ9" i="30"/>
  <c r="AR10" i="30"/>
  <c r="AR39" i="30"/>
  <c r="AT34" i="30"/>
  <c r="AS23" i="30"/>
  <c r="AS10" i="30"/>
  <c r="AS19" i="30"/>
  <c r="AQ10" i="30"/>
  <c r="AS6" i="30"/>
  <c r="AQ5" i="30"/>
  <c r="AT7" i="30"/>
  <c r="AQ8" i="30"/>
  <c r="AR7" i="30"/>
  <c r="AS11" i="30"/>
  <c r="AS5" i="30"/>
  <c r="AS26" i="30"/>
  <c r="AR15" i="30"/>
  <c r="AS34" i="30"/>
  <c r="AQ17" i="30"/>
  <c r="AT11" i="30"/>
  <c r="AS15" i="30"/>
  <c r="AQ25" i="30"/>
  <c r="AT19" i="30"/>
  <c r="AR16" i="30"/>
  <c r="AR4" i="30"/>
  <c r="AR5" i="30"/>
  <c r="AT8" i="30"/>
  <c r="AT24" i="30"/>
  <c r="AW38" i="30"/>
  <c r="AW39" i="30"/>
  <c r="H23" i="46"/>
  <c r="M23" i="46" s="1"/>
  <c r="D15" i="54"/>
  <c r="I15" i="54" l="1"/>
  <c r="AZ41" i="30"/>
  <c r="AZ20" i="30"/>
  <c r="AW41" i="30"/>
  <c r="M24" i="48"/>
  <c r="AX20" i="30"/>
  <c r="AY41" i="30"/>
  <c r="AZ12" i="30"/>
  <c r="AX41" i="30"/>
  <c r="AY12" i="30"/>
  <c r="AX12" i="30"/>
  <c r="AW12" i="30"/>
  <c r="K15" i="54" l="1"/>
  <c r="N13" i="54"/>
  <c r="N15" i="54" s="1"/>
  <c r="M15" i="54"/>
  <c r="AY20" i="30"/>
  <c r="AY42" i="30" s="1"/>
  <c r="E17" i="40" s="1"/>
  <c r="G7" i="41"/>
  <c r="BD19" i="30"/>
  <c r="BC5" i="30"/>
  <c r="BD16" i="30"/>
  <c r="BF5" i="30"/>
  <c r="BD24" i="30"/>
  <c r="BF18" i="30"/>
  <c r="BD34" i="30"/>
  <c r="BE24" i="30"/>
  <c r="BE9" i="30"/>
  <c r="BF6" i="30"/>
  <c r="BC40" i="30"/>
  <c r="BF26" i="30"/>
  <c r="BF19" i="30"/>
  <c r="BD17" i="30"/>
  <c r="BE17" i="30"/>
  <c r="BE19" i="30"/>
  <c r="BD11" i="30"/>
  <c r="BF39" i="30"/>
  <c r="BC19" i="30"/>
  <c r="BC39" i="30"/>
  <c r="BD15" i="30"/>
  <c r="BC8" i="30"/>
  <c r="BC6" i="30"/>
  <c r="BC34" i="30"/>
  <c r="BF11" i="30"/>
  <c r="BF15" i="30"/>
  <c r="BE4" i="30"/>
  <c r="BE26" i="30"/>
  <c r="BF10" i="30"/>
  <c r="BE5" i="30"/>
  <c r="BC26" i="30"/>
  <c r="BD5" i="30"/>
  <c r="BC18" i="30"/>
  <c r="BE23" i="30"/>
  <c r="BE25" i="30"/>
  <c r="BC10" i="30"/>
  <c r="BD7" i="30"/>
  <c r="BD38" i="30"/>
  <c r="BE10" i="30"/>
  <c r="BD4" i="30"/>
  <c r="BD26" i="30"/>
  <c r="BC4" i="30"/>
  <c r="BC25" i="30"/>
  <c r="BC17" i="30"/>
  <c r="BD8" i="30"/>
  <c r="BC24" i="30"/>
  <c r="BD9" i="30"/>
  <c r="BF40" i="30"/>
  <c r="BF7" i="30"/>
  <c r="BF38" i="30"/>
  <c r="BF34" i="30"/>
  <c r="BE40" i="30"/>
  <c r="BD10" i="30"/>
  <c r="BF23" i="30"/>
  <c r="BE11" i="30"/>
  <c r="BE15" i="30"/>
  <c r="BC7" i="30"/>
  <c r="BD25" i="30"/>
  <c r="BE8" i="30"/>
  <c r="BE39" i="30"/>
  <c r="BE34" i="30"/>
  <c r="BC23" i="30"/>
  <c r="BE6" i="30"/>
  <c r="BE18" i="30"/>
  <c r="BD23" i="30"/>
  <c r="M23" i="48"/>
  <c r="BF25" i="30"/>
  <c r="BC15" i="30"/>
  <c r="BF4" i="30"/>
  <c r="BD6" i="30"/>
  <c r="BF17" i="30"/>
  <c r="BD39" i="30"/>
  <c r="BE16" i="30"/>
  <c r="BF9" i="30"/>
  <c r="BE7" i="30"/>
  <c r="BF16" i="30"/>
  <c r="BD40" i="30"/>
  <c r="BC11" i="30"/>
  <c r="BF8" i="30"/>
  <c r="BE38" i="30"/>
  <c r="BC38" i="30"/>
  <c r="BC9" i="30"/>
  <c r="BF24" i="30"/>
  <c r="AZ42" i="30"/>
  <c r="F17" i="40" s="1"/>
  <c r="AW20" i="30"/>
  <c r="AW42" i="30" s="1"/>
  <c r="AX42" i="30"/>
  <c r="D17" i="40" s="1"/>
  <c r="K23" i="46" l="1"/>
  <c r="N23" i="46" s="1"/>
  <c r="AR12" i="30"/>
  <c r="AQ35" i="30"/>
  <c r="AR20" i="30"/>
  <c r="L18" i="30"/>
  <c r="M18" i="30" s="1"/>
  <c r="C17" i="40"/>
  <c r="G17" i="40" s="1"/>
  <c r="G9" i="41"/>
  <c r="L26" i="30"/>
  <c r="M26" i="30" s="1"/>
  <c r="L25" i="30"/>
  <c r="M25" i="30" s="1"/>
  <c r="BE35" i="30"/>
  <c r="AT35" i="30"/>
  <c r="AS20" i="30"/>
  <c r="BE20" i="30"/>
  <c r="AT20" i="30"/>
  <c r="BF35" i="30"/>
  <c r="L8" i="30"/>
  <c r="M8" i="30" s="1"/>
  <c r="AQ41" i="30"/>
  <c r="BD12" i="30"/>
  <c r="BD18" i="30"/>
  <c r="BD20" i="30" s="1"/>
  <c r="L15" i="30"/>
  <c r="M15" i="30" s="1"/>
  <c r="AS12" i="30"/>
  <c r="BD41" i="30"/>
  <c r="BE12" i="30"/>
  <c r="AR41" i="30"/>
  <c r="BE41" i="30"/>
  <c r="L23" i="30"/>
  <c r="M23" i="30" s="1"/>
  <c r="AQ20" i="30"/>
  <c r="BF12" i="30"/>
  <c r="L6" i="30"/>
  <c r="M6" i="30" s="1"/>
  <c r="L40" i="30"/>
  <c r="M40" i="30" s="1"/>
  <c r="L5" i="30"/>
  <c r="M5" i="30" s="1"/>
  <c r="L24" i="30"/>
  <c r="M24" i="30" s="1"/>
  <c r="L9" i="30"/>
  <c r="M9" i="30" s="1"/>
  <c r="BC16" i="30"/>
  <c r="BC20" i="30" s="1"/>
  <c r="L10" i="30"/>
  <c r="M10" i="30" s="1"/>
  <c r="L38" i="30"/>
  <c r="M38" i="30" s="1"/>
  <c r="AR35" i="30"/>
  <c r="L7" i="30"/>
  <c r="M7" i="30" s="1"/>
  <c r="AQ12" i="30"/>
  <c r="AS35" i="30"/>
  <c r="BF20" i="30"/>
  <c r="L19" i="30"/>
  <c r="M19" i="30" s="1"/>
  <c r="L16" i="30"/>
  <c r="M16" i="30" s="1"/>
  <c r="BF41" i="30"/>
  <c r="L17" i="30"/>
  <c r="M17" i="30" s="1"/>
  <c r="AS41" i="30"/>
  <c r="AT41" i="30"/>
  <c r="L11" i="30"/>
  <c r="M11" i="30" s="1"/>
  <c r="AT12" i="30"/>
  <c r="BD35" i="30"/>
  <c r="L4" i="30"/>
  <c r="L34" i="30"/>
  <c r="M34" i="30" s="1"/>
  <c r="L39" i="30"/>
  <c r="M39" i="30" s="1"/>
  <c r="BC41" i="30"/>
  <c r="BA42" i="30"/>
  <c r="BC12" i="30"/>
  <c r="BC35" i="30"/>
  <c r="BG35" i="30" l="1"/>
  <c r="M4" i="30"/>
  <c r="M12" i="30" s="1"/>
  <c r="L12" i="30"/>
  <c r="M31" i="40"/>
  <c r="AU12" i="30"/>
  <c r="AU20" i="30"/>
  <c r="AU35" i="30"/>
  <c r="AU41" i="30"/>
  <c r="BM5" i="30"/>
  <c r="H8" i="41"/>
  <c r="H9" i="41"/>
  <c r="H7" i="41"/>
  <c r="J14" i="48"/>
  <c r="BE42" i="30"/>
  <c r="AR42" i="30"/>
  <c r="AQ42" i="30"/>
  <c r="AL56" i="30" s="1"/>
  <c r="AL59" i="30" s="1"/>
  <c r="M20" i="30"/>
  <c r="BD42" i="30"/>
  <c r="D18" i="40" s="1"/>
  <c r="D23" i="40" s="1"/>
  <c r="AS42" i="30"/>
  <c r="L41" i="30"/>
  <c r="M41" i="30"/>
  <c r="L20" i="30"/>
  <c r="L14" i="48"/>
  <c r="AT42" i="30"/>
  <c r="BL4" i="30" s="1"/>
  <c r="BL6" i="30" s="1"/>
  <c r="BF42" i="30"/>
  <c r="M35" i="30"/>
  <c r="L35" i="30"/>
  <c r="G14" i="48"/>
  <c r="BC42" i="30"/>
  <c r="AU42" i="30" l="1"/>
  <c r="BM4" i="30" s="1"/>
  <c r="BM8" i="30" s="1"/>
  <c r="BK4" i="30"/>
  <c r="BI4" i="30"/>
  <c r="BJ4" i="30"/>
  <c r="J18" i="48"/>
  <c r="I14" i="48"/>
  <c r="H14" i="48"/>
  <c r="E14" i="48"/>
  <c r="E18" i="48" s="1"/>
  <c r="H22" i="46"/>
  <c r="H27" i="46" s="1"/>
  <c r="H5" i="46"/>
  <c r="H9" i="46" s="1"/>
  <c r="H15" i="46" s="1"/>
  <c r="H18" i="46" s="1"/>
  <c r="F14" i="48"/>
  <c r="F18" i="48" s="1"/>
  <c r="F18" i="40"/>
  <c r="F5" i="46" s="1"/>
  <c r="F9" i="46" s="1"/>
  <c r="E18" i="40"/>
  <c r="E23" i="40" s="1"/>
  <c r="K14" i="48"/>
  <c r="K5" i="46"/>
  <c r="K9" i="46" s="1"/>
  <c r="L42" i="30"/>
  <c r="I57" i="30"/>
  <c r="F22" i="46" s="1"/>
  <c r="F27" i="46" s="1"/>
  <c r="I58" i="30"/>
  <c r="L5" i="46"/>
  <c r="L9" i="46" s="1"/>
  <c r="D14" i="48"/>
  <c r="G10" i="48"/>
  <c r="M42" i="30"/>
  <c r="D5" i="46"/>
  <c r="D9" i="46" s="1"/>
  <c r="D15" i="46" s="1"/>
  <c r="J5" i="46"/>
  <c r="J9" i="46" s="1"/>
  <c r="J15" i="46" s="1"/>
  <c r="J18" i="46" s="1"/>
  <c r="J22" i="46"/>
  <c r="J27" i="46" s="1"/>
  <c r="J10" i="48"/>
  <c r="I22" i="46"/>
  <c r="I10" i="48"/>
  <c r="I18" i="48"/>
  <c r="C14" i="48"/>
  <c r="C18" i="40"/>
  <c r="G18" i="48"/>
  <c r="K22" i="46"/>
  <c r="K27" i="46" s="1"/>
  <c r="K10" i="48"/>
  <c r="K11" i="48" s="1"/>
  <c r="L18" i="48"/>
  <c r="G5" i="46"/>
  <c r="G9" i="46" s="1"/>
  <c r="G15" i="46" s="1"/>
  <c r="G18" i="46" s="1"/>
  <c r="G58" i="30" l="1"/>
  <c r="BJ6" i="30"/>
  <c r="G57" i="30" s="1"/>
  <c r="D12" i="40" s="1"/>
  <c r="F58" i="30"/>
  <c r="BI6" i="30"/>
  <c r="F57" i="30" s="1"/>
  <c r="H58" i="30"/>
  <c r="BK6" i="30"/>
  <c r="H57" i="30" s="1"/>
  <c r="E12" i="40" s="1"/>
  <c r="E13" i="40" s="1"/>
  <c r="E24" i="40" s="1"/>
  <c r="F23" i="40"/>
  <c r="I5" i="46"/>
  <c r="I9" i="46" s="1"/>
  <c r="K18" i="48"/>
  <c r="K19" i="48" s="1"/>
  <c r="H18" i="48"/>
  <c r="G22" i="46"/>
  <c r="G27" i="46" s="1"/>
  <c r="G28" i="46" s="1"/>
  <c r="E5" i="46"/>
  <c r="E9" i="46" s="1"/>
  <c r="E15" i="46" s="1"/>
  <c r="E18" i="46" s="1"/>
  <c r="D30" i="50"/>
  <c r="D31" i="50" s="1"/>
  <c r="D34" i="50" s="1"/>
  <c r="D36" i="50" s="1"/>
  <c r="E30" i="50"/>
  <c r="E31" i="50" s="1"/>
  <c r="E34" i="50" s="1"/>
  <c r="E36" i="50" s="1"/>
  <c r="H28" i="46"/>
  <c r="I59" i="30"/>
  <c r="F12" i="40"/>
  <c r="F26" i="40" s="1"/>
  <c r="F10" i="48"/>
  <c r="F21" i="48" s="1"/>
  <c r="H10" i="48"/>
  <c r="H11" i="48" s="1"/>
  <c r="L22" i="46"/>
  <c r="L27" i="46" s="1"/>
  <c r="L28" i="46" s="1"/>
  <c r="L10" i="48"/>
  <c r="L11" i="48" s="1"/>
  <c r="L19" i="48" s="1"/>
  <c r="D18" i="48"/>
  <c r="C30" i="50"/>
  <c r="C31" i="50" s="1"/>
  <c r="C34" i="50" s="1"/>
  <c r="C36" i="50" s="1"/>
  <c r="J28" i="46"/>
  <c r="J21" i="48"/>
  <c r="J11" i="48"/>
  <c r="J19" i="48" s="1"/>
  <c r="C5" i="46"/>
  <c r="C23" i="40"/>
  <c r="G18" i="40"/>
  <c r="M30" i="40" s="1"/>
  <c r="C18" i="48"/>
  <c r="B30" i="50"/>
  <c r="M14" i="48"/>
  <c r="L15" i="46"/>
  <c r="L18" i="46" s="1"/>
  <c r="I21" i="48"/>
  <c r="I11" i="48"/>
  <c r="I19" i="48" s="1"/>
  <c r="G21" i="48"/>
  <c r="G11" i="48"/>
  <c r="G19" i="48" s="1"/>
  <c r="K15" i="46"/>
  <c r="K18" i="46" s="1"/>
  <c r="K28" i="46"/>
  <c r="K21" i="48"/>
  <c r="M22" i="46"/>
  <c r="M27" i="46" s="1"/>
  <c r="I27" i="46"/>
  <c r="F15" i="46"/>
  <c r="F18" i="46" s="1"/>
  <c r="F28" i="46"/>
  <c r="D18" i="46"/>
  <c r="M58" i="30" l="1"/>
  <c r="BM6" i="30"/>
  <c r="BM9" i="30" s="1"/>
  <c r="D22" i="46"/>
  <c r="D27" i="46" s="1"/>
  <c r="D28" i="46" s="1"/>
  <c r="D10" i="48"/>
  <c r="D21" i="48" s="1"/>
  <c r="E26" i="40"/>
  <c r="G59" i="30"/>
  <c r="H59" i="30"/>
  <c r="E10" i="48"/>
  <c r="E11" i="48" s="1"/>
  <c r="E19" i="48" s="1"/>
  <c r="E22" i="46"/>
  <c r="E27" i="46" s="1"/>
  <c r="E28" i="46" s="1"/>
  <c r="M5" i="46"/>
  <c r="M9" i="46" s="1"/>
  <c r="H19" i="48"/>
  <c r="F30" i="50"/>
  <c r="F11" i="48"/>
  <c r="F19" i="48" s="1"/>
  <c r="G23" i="40"/>
  <c r="F13" i="40"/>
  <c r="F24" i="40" s="1"/>
  <c r="M18" i="48"/>
  <c r="H21" i="48"/>
  <c r="L21" i="48"/>
  <c r="D13" i="40"/>
  <c r="D24" i="40" s="1"/>
  <c r="D26" i="40"/>
  <c r="I15" i="46"/>
  <c r="I28" i="46"/>
  <c r="B31" i="50"/>
  <c r="F31" i="50" s="1"/>
  <c r="C9" i="46"/>
  <c r="C15" i="46" s="1"/>
  <c r="N5" i="46"/>
  <c r="N9" i="46" s="1"/>
  <c r="C10" i="48"/>
  <c r="F59" i="30"/>
  <c r="C22" i="46"/>
  <c r="C12" i="40"/>
  <c r="M57" i="30"/>
  <c r="D11" i="48" l="1"/>
  <c r="D19" i="48" s="1"/>
  <c r="E21" i="48"/>
  <c r="M59" i="30"/>
  <c r="C21" i="48"/>
  <c r="C11" i="48"/>
  <c r="M10" i="48"/>
  <c r="B34" i="50"/>
  <c r="F34" i="50" s="1"/>
  <c r="C26" i="40"/>
  <c r="G12" i="40"/>
  <c r="M32" i="40" s="1"/>
  <c r="C13" i="40"/>
  <c r="C27" i="46"/>
  <c r="C28" i="46" s="1"/>
  <c r="N22" i="46"/>
  <c r="C18" i="46"/>
  <c r="N15" i="46"/>
  <c r="N18" i="46" s="1"/>
  <c r="M15" i="46"/>
  <c r="M18" i="46" s="1"/>
  <c r="I18" i="46"/>
  <c r="C19" i="48" l="1"/>
  <c r="M11" i="48"/>
  <c r="M19" i="48" s="1"/>
  <c r="C24" i="40"/>
  <c r="G13" i="40"/>
  <c r="G24" i="40" s="1"/>
  <c r="B36" i="50"/>
  <c r="F36" i="50" s="1"/>
  <c r="P25" i="46"/>
  <c r="P22" i="46"/>
  <c r="N27" i="46"/>
  <c r="O22" i="46" s="1"/>
  <c r="G26" i="40"/>
  <c r="M21" i="48"/>
  <c r="M25" i="48"/>
  <c r="G64" i="30" l="1"/>
  <c r="G66" i="30" s="1"/>
  <c r="G28" i="40"/>
  <c r="G34" i="50"/>
  <c r="O25" i="46"/>
  <c r="O24" i="46"/>
  <c r="O26" i="46"/>
  <c r="O27" i="46"/>
  <c r="O23" i="46"/>
  <c r="N28" i="46"/>
  <c r="G36" i="50"/>
  <c r="G35" i="50"/>
</calcChain>
</file>

<file path=xl/comments1.xml><?xml version="1.0" encoding="utf-8"?>
<comments xmlns="http://schemas.openxmlformats.org/spreadsheetml/2006/main">
  <authors>
    <author>Terje Bakke</author>
  </authors>
  <commentList>
    <comment ref="J21" authorId="0" shapeId="0">
      <text>
        <r>
          <rPr>
            <b/>
            <sz val="9"/>
            <color indexed="81"/>
            <rFont val="Tahoma"/>
            <family val="2"/>
          </rPr>
          <t>Husk å sette riktig datointervall!</t>
        </r>
      </text>
    </comment>
    <comment ref="I24" authorId="0" shapeId="0">
      <text>
        <r>
          <rPr>
            <b/>
            <sz val="9"/>
            <color indexed="81"/>
            <rFont val="Tahoma"/>
            <family val="2"/>
          </rPr>
          <t xml:space="preserve">Viktig at prosjekteier (instituttleder) er innforstått med hvilket ansvar og økonomisk risiko som EU prosjekter medfører.    </t>
        </r>
        <r>
          <rPr>
            <sz val="9"/>
            <color indexed="81"/>
            <rFont val="Tahoma"/>
            <family val="2"/>
          </rPr>
          <t xml:space="preserve">
</t>
        </r>
      </text>
    </comment>
  </commentList>
</comments>
</file>

<file path=xl/comments2.xml><?xml version="1.0" encoding="utf-8"?>
<comments xmlns="http://schemas.openxmlformats.org/spreadsheetml/2006/main">
  <authors>
    <author>Terje Bakke</author>
    <author>Deike Pahl</author>
  </authors>
  <commentList>
    <comment ref="B3" authorId="0" shapeId="0">
      <text>
        <r>
          <rPr>
            <sz val="9"/>
            <color indexed="81"/>
            <rFont val="Tahoma"/>
            <family val="2"/>
          </rPr>
          <t>Automatisk som følge av input fra nedtrekksmenyen i kolonne A.</t>
        </r>
      </text>
    </comment>
    <comment ref="A51" authorId="1" shapeId="0">
      <text>
        <r>
          <rPr>
            <sz val="9"/>
            <color indexed="81"/>
            <rFont val="Tahoma"/>
            <family val="2"/>
          </rPr>
          <t xml:space="preserve">Innkjøp av FoU-tjenester/ Subcontracting: utløser ikke overheadkostnader.
</t>
        </r>
      </text>
    </comment>
    <comment ref="F59" authorId="0" shapeId="0">
      <text>
        <r>
          <rPr>
            <b/>
            <sz val="9"/>
            <color indexed="81"/>
            <rFont val="Tahoma"/>
            <family val="2"/>
          </rPr>
          <t>Terje Bakke:
F</t>
        </r>
        <r>
          <rPr>
            <sz val="9"/>
            <color indexed="81"/>
            <rFont val="Tahoma"/>
            <family val="2"/>
          </rPr>
          <t>inansiørs overhead er 33% i år 1, mens det er snittet på 27%for prosjektets levetid som brukes i kalkylen - derfor overskudd år 1 og utjevning resten av perioden. prosjektperioden.</t>
        </r>
      </text>
    </comment>
    <comment ref="AQ61" authorId="0" shapeId="0">
      <text>
        <r>
          <rPr>
            <b/>
            <sz val="9"/>
            <color indexed="81"/>
            <rFont val="Tahoma"/>
            <family val="2"/>
          </rPr>
          <t>Terje Bakke:</t>
        </r>
        <r>
          <rPr>
            <sz val="9"/>
            <color indexed="81"/>
            <rFont val="Tahoma"/>
            <family val="2"/>
          </rPr>
          <t xml:space="preserve">
Prosentsatsen er et vektet snitt av prosentsatsene og nivået for lønn de respektive år i prosjektperioden.
</t>
        </r>
      </text>
    </comment>
    <comment ref="A65" authorId="0" shapeId="0">
      <text>
        <r>
          <rPr>
            <sz val="9"/>
            <color indexed="81"/>
            <rFont val="Tahoma"/>
            <family val="2"/>
          </rPr>
          <t xml:space="preserve">F.eks ansettelser av vikarer ifm frijøp av undervisningstid. NB! Kun til analyseformål, får ingen konsekvenser i prosjektregnskapet. Inntekter legges inn med minus
</t>
        </r>
      </text>
    </comment>
    <comment ref="AU67" authorId="0" shapeId="0">
      <text>
        <r>
          <rPr>
            <b/>
            <sz val="9"/>
            <color indexed="81"/>
            <rFont val="Tahoma"/>
            <family val="2"/>
          </rPr>
          <t>Terje Bakke:</t>
        </r>
        <r>
          <rPr>
            <sz val="9"/>
            <color indexed="81"/>
            <rFont val="Tahoma"/>
            <family val="2"/>
          </rPr>
          <t xml:space="preserve">
Sum personalkostnader i prosjektperioden</t>
        </r>
      </text>
    </comment>
  </commentList>
</comments>
</file>

<file path=xl/comments3.xml><?xml version="1.0" encoding="utf-8"?>
<comments xmlns="http://schemas.openxmlformats.org/spreadsheetml/2006/main">
  <authors>
    <author>Simen Finne Jørgensen</author>
  </authors>
  <commentList>
    <comment ref="L32" authorId="0" shapeId="0">
      <text>
        <r>
          <rPr>
            <b/>
            <sz val="9"/>
            <color indexed="81"/>
            <rFont val="Tahoma"/>
            <family val="2"/>
          </rPr>
          <t xml:space="preserve">Av UiOs kostnader dvs minus viderefordelte inntekter.
</t>
        </r>
      </text>
    </comment>
  </commentList>
</comments>
</file>

<file path=xl/comments4.xml><?xml version="1.0" encoding="utf-8"?>
<comments xmlns="http://schemas.openxmlformats.org/spreadsheetml/2006/main">
  <authors>
    <author>Simen Finne Jørgensen</author>
  </authors>
  <commentList>
    <comment ref="L25" authorId="0" shapeId="0">
      <text>
        <r>
          <rPr>
            <b/>
            <sz val="9"/>
            <color indexed="81"/>
            <rFont val="Tahoma"/>
            <family val="2"/>
          </rPr>
          <t xml:space="preserve">Av UiOs kostnader dvs minus viderefordelte inntekter.
</t>
        </r>
      </text>
    </comment>
  </commentList>
</comments>
</file>

<file path=xl/comments5.xml><?xml version="1.0" encoding="utf-8"?>
<comments xmlns="http://schemas.openxmlformats.org/spreadsheetml/2006/main">
  <authors>
    <author>Terje Bakke</author>
  </authors>
  <commentList>
    <comment ref="H13" authorId="0" shapeId="0">
      <text>
        <r>
          <rPr>
            <b/>
            <sz val="9"/>
            <color indexed="81"/>
            <rFont val="Tahoma"/>
            <family val="2"/>
          </rPr>
          <t>Terje Bakke:</t>
        </r>
        <r>
          <rPr>
            <sz val="9"/>
            <color indexed="81"/>
            <rFont val="Tahoma"/>
            <family val="2"/>
          </rPr>
          <t xml:space="preserve">
Kun brukes unntaksvi - ta kontakt med EU- kontoret.</t>
        </r>
      </text>
    </comment>
    <comment ref="J13" authorId="0" shapeId="0">
      <text>
        <r>
          <rPr>
            <b/>
            <sz val="9"/>
            <color indexed="81"/>
            <rFont val="Tahoma"/>
            <family val="2"/>
          </rPr>
          <t>Terje Bakke:</t>
        </r>
        <r>
          <rPr>
            <sz val="9"/>
            <color indexed="81"/>
            <rFont val="Tahoma"/>
            <family val="2"/>
          </rPr>
          <t xml:space="preserve">
Riktig å la leiested sortere under B? Hva med G? </t>
        </r>
      </text>
    </comment>
  </commentList>
</comments>
</file>

<file path=xl/sharedStrings.xml><?xml version="1.0" encoding="utf-8"?>
<sst xmlns="http://schemas.openxmlformats.org/spreadsheetml/2006/main" count="639" uniqueCount="374">
  <si>
    <t>Sum</t>
  </si>
  <si>
    <t>Lønnstrinn</t>
  </si>
  <si>
    <t>Bruttolønn</t>
  </si>
  <si>
    <t>Reiser/konferanser/mv.</t>
  </si>
  <si>
    <t>Andre driftskostnader</t>
  </si>
  <si>
    <t>Prosjektleder</t>
  </si>
  <si>
    <t>Egenandel</t>
  </si>
  <si>
    <t>Prosjektleder/adm.leder</t>
  </si>
  <si>
    <t>Forsker - professor</t>
  </si>
  <si>
    <t>Stipendiat</t>
  </si>
  <si>
    <t>Investeringer (utstyr)</t>
  </si>
  <si>
    <t>Forsker - 1.aman.</t>
  </si>
  <si>
    <t xml:space="preserve"> Mange typiske HumSam-miljøer</t>
  </si>
  <si>
    <t xml:space="preserve"> Innenfor både HumSam og MedNat</t>
  </si>
  <si>
    <t xml:space="preserve"> Tradisjonelle eksperimentelle miljøer innenfor MedNat</t>
  </si>
  <si>
    <t xml:space="preserve"> For eksempel basalmedisin</t>
  </si>
  <si>
    <t>Postdoktor / Forsker</t>
  </si>
  <si>
    <t>Arbeidstimer pr. år</t>
  </si>
  <si>
    <t xml:space="preserve"> Produktive timer</t>
  </si>
  <si>
    <t>Timesats</t>
  </si>
  <si>
    <t xml:space="preserve">Gjesteforsker </t>
  </si>
  <si>
    <t>inkl sos.avg.</t>
  </si>
  <si>
    <t>inkl. ind.kost.</t>
  </si>
  <si>
    <r>
      <t xml:space="preserve"> Satsene gjelder </t>
    </r>
    <r>
      <rPr>
        <b/>
        <i/>
        <sz val="8"/>
        <rFont val="Arial"/>
        <family val="2"/>
      </rPr>
      <t>PR. ÅRSVERK</t>
    </r>
  </si>
  <si>
    <t>Fast eksternt beløp</t>
  </si>
  <si>
    <t>Prosjektnummer (om opprettet)</t>
  </si>
  <si>
    <t>Lønn</t>
  </si>
  <si>
    <t>AGA</t>
  </si>
  <si>
    <t>Pensjon</t>
  </si>
  <si>
    <t>Brutto</t>
  </si>
  <si>
    <t>LTR</t>
  </si>
  <si>
    <t>Feriep</t>
  </si>
  <si>
    <t>Kommentarfelt</t>
  </si>
  <si>
    <t>Fra første budsjettår</t>
  </si>
  <si>
    <t xml:space="preserve"> ansatte under 60 år</t>
  </si>
  <si>
    <t>Ltr</t>
  </si>
  <si>
    <t>ART</t>
  </si>
  <si>
    <t>Multiplikator</t>
  </si>
  <si>
    <t>TOTALT</t>
  </si>
  <si>
    <t>NN</t>
  </si>
  <si>
    <t>Fast lønn</t>
  </si>
  <si>
    <t>faktor</t>
  </si>
  <si>
    <t>Feriepenge avsetning</t>
  </si>
  <si>
    <t>AGA ( av  Lønn/ Fp og Pensjon )</t>
  </si>
  <si>
    <t>Fra Buddy</t>
  </si>
  <si>
    <t>Lønnsjustering</t>
  </si>
  <si>
    <t>Prosjekter som ikke foregår i UiOs lokaler</t>
  </si>
  <si>
    <t xml:space="preserve"> Eksempelvis prosjekter som fysisk foregår i sykehusenes lokaler</t>
  </si>
  <si>
    <t>Gj.snitt. Ltr</t>
  </si>
  <si>
    <t>Eksterne inntekter</t>
  </si>
  <si>
    <t>Totale kostnader</t>
  </si>
  <si>
    <t>Personalkostnader</t>
  </si>
  <si>
    <t>Kostnad eksternt fin frikjøp</t>
  </si>
  <si>
    <t>Direkte driftskostnader</t>
  </si>
  <si>
    <t>Eksternt fin overheadkostnader</t>
  </si>
  <si>
    <t>Kostnad internt fin frikjøp</t>
  </si>
  <si>
    <t>Internt fin overheadkostnader</t>
  </si>
  <si>
    <t xml:space="preserve">Nettobidrag </t>
  </si>
  <si>
    <t>Navn</t>
  </si>
  <si>
    <t>Prosjektansatte</t>
  </si>
  <si>
    <t>Overhead</t>
  </si>
  <si>
    <t>Totalt</t>
  </si>
  <si>
    <t>Alle beløp er angitt i hele kroner</t>
  </si>
  <si>
    <t>Prosjektansatte - dekkes av prosjektbevilgning</t>
  </si>
  <si>
    <t>Eksisterende ansatte - dekkes av prosjektbevilgning</t>
  </si>
  <si>
    <t>Eksisterende ansatte - dekkes av UiO (egenandel)</t>
  </si>
  <si>
    <t>REGISTRER DRIFTSKOSTNADER</t>
  </si>
  <si>
    <t>Frikjøp art 5892</t>
  </si>
  <si>
    <t>Frikjøp art 5896</t>
  </si>
  <si>
    <t>Egenandelsprosent</t>
  </si>
  <si>
    <t>Dato</t>
  </si>
  <si>
    <t>Bevilgning</t>
  </si>
  <si>
    <t>Grunnlagstabell for registrering av prosjektkategori</t>
  </si>
  <si>
    <t>Eksternt finansiert overhead</t>
  </si>
  <si>
    <t>Alle beløp angis i hele kroner</t>
  </si>
  <si>
    <t>Lønnsberegninger</t>
  </si>
  <si>
    <t>Levetids-prognose</t>
  </si>
  <si>
    <t>Underskrifter (på papirutskriften - som skal arkiveres)</t>
  </si>
  <si>
    <t>Prosjekteier (instituttleder)</t>
  </si>
  <si>
    <t>Navn på finansieringskilde(r)</t>
  </si>
  <si>
    <t>Total overheadkostnad</t>
  </si>
  <si>
    <t>Resultat</t>
  </si>
  <si>
    <t>Prosjekttittel:</t>
  </si>
  <si>
    <t>Prosjektnr:</t>
  </si>
  <si>
    <t>Saksnummer ePhorte:</t>
  </si>
  <si>
    <t>Startdato:</t>
  </si>
  <si>
    <t>Sluttdato:</t>
  </si>
  <si>
    <t>Prosjektkategorisering:</t>
  </si>
  <si>
    <t>Prosjektets slutt (etter endring)</t>
  </si>
  <si>
    <t>Saksnummer i ephorte (om opprettet)</t>
  </si>
  <si>
    <t>SUM eksternt inntekt</t>
  </si>
  <si>
    <t>Ltr.</t>
  </si>
  <si>
    <t>Årslønn</t>
  </si>
  <si>
    <t>OVERHEADKOSTNADER</t>
  </si>
  <si>
    <t>Prosjektinformasjon</t>
  </si>
  <si>
    <t>Prosjektperiode</t>
  </si>
  <si>
    <t>Informasjon om finansiering</t>
  </si>
  <si>
    <t>Pris- lønnsjustering</t>
  </si>
  <si>
    <t>Prosjekt:</t>
  </si>
  <si>
    <t>Prosjekttype (overheadkostnader):</t>
  </si>
  <si>
    <t>Finansieringstype:</t>
  </si>
  <si>
    <r>
      <t>Prosjekttype (overheadkostnader)</t>
    </r>
    <r>
      <rPr>
        <sz val="11"/>
        <color rgb="FFFF0000"/>
        <rFont val="Calibri"/>
        <family val="2"/>
        <scheme val="minor"/>
      </rPr>
      <t>*</t>
    </r>
  </si>
  <si>
    <r>
      <t>Første budsjettår (oppstartsår)</t>
    </r>
    <r>
      <rPr>
        <sz val="11"/>
        <color rgb="FFFF0000"/>
        <rFont val="Calibri"/>
        <family val="2"/>
        <scheme val="minor"/>
      </rPr>
      <t>*</t>
    </r>
  </si>
  <si>
    <r>
      <t>Prosjektets (avtaleperioden) start</t>
    </r>
    <r>
      <rPr>
        <sz val="11"/>
        <color rgb="FFFF0000"/>
        <rFont val="Calibri"/>
        <family val="2"/>
        <scheme val="minor"/>
      </rPr>
      <t>*</t>
    </r>
  </si>
  <si>
    <r>
      <t>Prosjektets (avtaleperioden) slutt</t>
    </r>
    <r>
      <rPr>
        <sz val="11"/>
        <color rgb="FFFF0000"/>
        <rFont val="Calibri"/>
        <family val="2"/>
        <scheme val="minor"/>
      </rPr>
      <t>*</t>
    </r>
  </si>
  <si>
    <r>
      <t>Prosjekttittel</t>
    </r>
    <r>
      <rPr>
        <sz val="11"/>
        <color rgb="FFFF0000"/>
        <rFont val="Calibri"/>
        <family val="2"/>
        <scheme val="minor"/>
      </rPr>
      <t>*</t>
    </r>
  </si>
  <si>
    <r>
      <t>Prosjekteier (institutt mv)</t>
    </r>
    <r>
      <rPr>
        <sz val="11"/>
        <color rgb="FFFF0000"/>
        <rFont val="Calibri"/>
        <family val="2"/>
        <scheme val="minor"/>
      </rPr>
      <t>*</t>
    </r>
  </si>
  <si>
    <r>
      <t>Institutt-/senterleder mv</t>
    </r>
    <r>
      <rPr>
        <sz val="11"/>
        <color rgb="FFFF0000"/>
        <rFont val="Calibri"/>
        <family val="2"/>
        <scheme val="minor"/>
      </rPr>
      <t>*</t>
    </r>
  </si>
  <si>
    <r>
      <t>Prosjektleder</t>
    </r>
    <r>
      <rPr>
        <sz val="11"/>
        <color rgb="FFFF0000"/>
        <rFont val="Calibri"/>
        <family val="2"/>
        <scheme val="minor"/>
      </rPr>
      <t>*</t>
    </r>
  </si>
  <si>
    <t>REGISTRER ÅRSVERK</t>
  </si>
  <si>
    <t>Sum årsv</t>
  </si>
  <si>
    <t>Inneværende år</t>
  </si>
  <si>
    <t>Eksternt fin. overhead</t>
  </si>
  <si>
    <t>LØNNS- OG DRIFTSKOSTNADER</t>
  </si>
  <si>
    <t>Internt finansiert overhead</t>
  </si>
  <si>
    <t>Ekstern finansiering</t>
  </si>
  <si>
    <t>Intern rapport - søknadsbudsjett</t>
  </si>
  <si>
    <t>Leiestedskostnader</t>
  </si>
  <si>
    <t>Søknadsbudsjetteringsmal</t>
  </si>
  <si>
    <t>Lab./feltundersøkelser</t>
  </si>
  <si>
    <t>Teknisk/adm. bistand</t>
  </si>
  <si>
    <t>Fast beløp</t>
  </si>
  <si>
    <t>Investeringer</t>
  </si>
  <si>
    <t>Totale inntekter</t>
  </si>
  <si>
    <t>Resultat levetidsprognose</t>
  </si>
  <si>
    <t>Cost plan (in NOK 1000)*</t>
  </si>
  <si>
    <t>Payroll and indirect expenses</t>
  </si>
  <si>
    <t>Procurement of R&amp;D services</t>
  </si>
  <si>
    <t>Equipment</t>
  </si>
  <si>
    <t>Other operating expenses</t>
  </si>
  <si>
    <t>Totals</t>
  </si>
  <si>
    <t>Cost code (in NOK 1000)*</t>
  </si>
  <si>
    <t>Trade and industry</t>
  </si>
  <si>
    <t>Independent research institute</t>
  </si>
  <si>
    <t>Universities and University Colleges</t>
  </si>
  <si>
    <t>Other sectors</t>
  </si>
  <si>
    <t>Abroad</t>
  </si>
  <si>
    <t>Funding plan (in NOK 1000)*</t>
  </si>
  <si>
    <t>Own financing</t>
  </si>
  <si>
    <t>International funding</t>
  </si>
  <si>
    <t>Other public funding</t>
  </si>
  <si>
    <t>Other private funding</t>
  </si>
  <si>
    <t>From Research Council</t>
  </si>
  <si>
    <t>Allocations sought from the Research Council (in 1000 NOK)</t>
  </si>
  <si>
    <t>Student fellowships</t>
  </si>
  <si>
    <t>Doctoral fellowships</t>
  </si>
  <si>
    <t>Post-doctoral fellowships</t>
  </si>
  <si>
    <t>Grants for visiting researchers</t>
  </si>
  <si>
    <t>Grants for overseas researchers</t>
  </si>
  <si>
    <t>Researcher positions</t>
  </si>
  <si>
    <t>Hourly-based salary including indirect costs</t>
  </si>
  <si>
    <t>Sum payroll and indirect expenses</t>
  </si>
  <si>
    <t>Viderefordelte inntekter</t>
  </si>
  <si>
    <t>Årlig lønnsjustering  i hele prosjektperioden</t>
  </si>
  <si>
    <t>Legg inntekter inn med minus-fortegn</t>
  </si>
  <si>
    <t>Prosjektets nettobidrag:</t>
  </si>
  <si>
    <t>Totalt beløp</t>
  </si>
  <si>
    <t>Benyttet sats:</t>
  </si>
  <si>
    <t>Viderefordelte midler</t>
  </si>
  <si>
    <t>kontroll</t>
  </si>
  <si>
    <t>Timebasert lønn</t>
  </si>
  <si>
    <t>Beløp</t>
  </si>
  <si>
    <t>Total arbeidsinnsats for prosjektet (årsverk)</t>
  </si>
  <si>
    <t>Timelønn - dekkes av prosjektbevilgning</t>
  </si>
  <si>
    <t>C-tabellen</t>
  </si>
  <si>
    <t xml:space="preserve">    37,5 t.</t>
  </si>
  <si>
    <t>Timelønn</t>
  </si>
  <si>
    <t>REGISTRER TIMER</t>
  </si>
  <si>
    <t>REGISTRER TOTAL OVERHEAD OG EKSTERNT FINANSIERT OVERHEAD</t>
  </si>
  <si>
    <t>inkl lønnsv.</t>
  </si>
  <si>
    <t>Antatt lønnsjustering:</t>
  </si>
  <si>
    <t>2015-2018</t>
  </si>
  <si>
    <t>Finansiør</t>
  </si>
  <si>
    <t>NFR</t>
  </si>
  <si>
    <t>Private</t>
  </si>
  <si>
    <t>Offentlige</t>
  </si>
  <si>
    <t>Internasjonale</t>
  </si>
  <si>
    <t>Direkte driftsmidler</t>
  </si>
  <si>
    <t>Sats OH pr år</t>
  </si>
  <si>
    <t>Forsker (rundsum)</t>
  </si>
  <si>
    <t>Sats TOT OH</t>
  </si>
  <si>
    <t>Kort begrunnelse for prosjektets faglige interesse:</t>
  </si>
  <si>
    <t>Dato:</t>
  </si>
  <si>
    <t>Prosjekter som foregår i UiOs lokaler</t>
  </si>
  <si>
    <t>Vit.ansatt</t>
  </si>
  <si>
    <t>Adm. Ansatt</t>
  </si>
  <si>
    <t>Vit.</t>
  </si>
  <si>
    <t>T/A</t>
  </si>
  <si>
    <t>Vitenskapelig ansatt UiO lokale</t>
  </si>
  <si>
    <t>Vitenskapelig ansatt ikke i UiO lokale</t>
  </si>
  <si>
    <t>Teknisk/adm. Ansatt ikke i Uio lokale</t>
  </si>
  <si>
    <t>Teknisk/adm. Ansatt i Uio lokale</t>
  </si>
  <si>
    <t>Valgt TDI</t>
  </si>
  <si>
    <t>Vit.ansatte</t>
  </si>
  <si>
    <t>Adm/teknisk</t>
  </si>
  <si>
    <t>Øvrige</t>
  </si>
  <si>
    <t>øvrig lønn</t>
  </si>
  <si>
    <t>OH-sats Vit</t>
  </si>
  <si>
    <t>Total OH</t>
  </si>
  <si>
    <t>% Andel</t>
  </si>
  <si>
    <t>% andel</t>
  </si>
  <si>
    <t>Frikjøp</t>
  </si>
  <si>
    <t>Enhetspris Leiested</t>
  </si>
  <si>
    <t>EURO</t>
  </si>
  <si>
    <t>A Actual costs</t>
  </si>
  <si>
    <t>Other direct costs</t>
  </si>
  <si>
    <t>F Declared as actual costs</t>
  </si>
  <si>
    <t>Direct personnel costs (EUR)</t>
  </si>
  <si>
    <t>Other costs</t>
  </si>
  <si>
    <t>K Subcontracting costs</t>
  </si>
  <si>
    <t>L Costs of providing financial support to third parties</t>
  </si>
  <si>
    <t>Total direct costs</t>
  </si>
  <si>
    <t>Total costs</t>
  </si>
  <si>
    <t>Allocations sought from the EU Council (in EUR)</t>
  </si>
  <si>
    <t>O Total eligible costs</t>
  </si>
  <si>
    <t>R Requested amount of the grant</t>
  </si>
  <si>
    <t xml:space="preserve">Own financing </t>
  </si>
  <si>
    <t>Total funding</t>
  </si>
  <si>
    <t>% Share</t>
  </si>
  <si>
    <t>Antall timer/enheter Leiested</t>
  </si>
  <si>
    <t>Inntekter EU i NOK (overføres til arkfanen finansiering)</t>
  </si>
  <si>
    <t>Total budget</t>
  </si>
  <si>
    <t>EU funding</t>
  </si>
  <si>
    <t>Indirect costs (TDI)</t>
  </si>
  <si>
    <t>Allocations sought from own financing (in EUR)</t>
  </si>
  <si>
    <t>EU</t>
  </si>
  <si>
    <t>Sum 3 siste år</t>
  </si>
  <si>
    <t>Leiested 1</t>
  </si>
  <si>
    <t>Leiested 2</t>
  </si>
  <si>
    <t>Leiested 3</t>
  </si>
  <si>
    <t>Leiested - internt finansiert</t>
  </si>
  <si>
    <t>Leiested - eksternt finansiert</t>
  </si>
  <si>
    <t>Eksternt fin leiestedskostnader</t>
  </si>
  <si>
    <t>Internt fin. leiestedskostnader</t>
  </si>
  <si>
    <t>I Total Unit costs</t>
  </si>
  <si>
    <t>Lønn og sos. kostnader</t>
  </si>
  <si>
    <t>NFR - budgeting form</t>
  </si>
  <si>
    <t>Controll</t>
  </si>
  <si>
    <t>Leiestedskalkyle versjon:</t>
  </si>
  <si>
    <t>Leiested 4</t>
  </si>
  <si>
    <t>Leiested 5</t>
  </si>
  <si>
    <t>Leiested 6</t>
  </si>
  <si>
    <t>Leiested 7</t>
  </si>
  <si>
    <t>Leiested 8</t>
  </si>
  <si>
    <t>Leiested 9</t>
  </si>
  <si>
    <t>Leiested 10</t>
  </si>
  <si>
    <t>Leiested 11</t>
  </si>
  <si>
    <t>Leiested 12</t>
  </si>
  <si>
    <t>Leiested 13</t>
  </si>
  <si>
    <t>Leiested 14</t>
  </si>
  <si>
    <t>Leiested 15</t>
  </si>
  <si>
    <t>Påslag lik sats overheadkostnader (indirekte kostnader)</t>
  </si>
  <si>
    <t>Kostnadsspesifikk</t>
  </si>
  <si>
    <t>Finansiering:</t>
  </si>
  <si>
    <t>Sum Egenandel</t>
  </si>
  <si>
    <t>Finansieringsprinsipp</t>
  </si>
  <si>
    <t>Finansieringstype</t>
  </si>
  <si>
    <t xml:space="preserve">Mer inntekt/kostnad for instituttet </t>
  </si>
  <si>
    <t>Prosjektets reelle nettobidrag</t>
  </si>
  <si>
    <t>Senior Staff</t>
  </si>
  <si>
    <t>Other</t>
  </si>
  <si>
    <t>Consumables</t>
  </si>
  <si>
    <t>Travel</t>
  </si>
  <si>
    <t>Cost Category</t>
  </si>
  <si>
    <t>Budsjett vises i hele Euro</t>
  </si>
  <si>
    <t>Participant</t>
  </si>
  <si>
    <t>Country</t>
  </si>
  <si>
    <r>
      <t>(A)     Direct      personnel     cost/</t>
    </r>
    <r>
      <rPr>
        <sz val="10"/>
        <rFont val="Calibri"/>
        <family val="2"/>
      </rPr>
      <t>€</t>
    </r>
  </si>
  <si>
    <r>
      <t>(B)         Other direct    costs/</t>
    </r>
    <r>
      <rPr>
        <sz val="10"/>
        <rFont val="Calibri"/>
        <family val="2"/>
      </rPr>
      <t>€</t>
    </r>
  </si>
  <si>
    <r>
      <t>(C)            Direct costs of        subcontracting/</t>
    </r>
    <r>
      <rPr>
        <sz val="10"/>
        <rFont val="Calibri"/>
        <family val="2"/>
      </rPr>
      <t>€</t>
    </r>
  </si>
  <si>
    <r>
      <t>(D)          Direct costs of     providing      financial     support to third     parties/</t>
    </r>
    <r>
      <rPr>
        <sz val="10"/>
        <rFont val="Calibri"/>
        <family val="2"/>
      </rPr>
      <t>€</t>
    </r>
  </si>
  <si>
    <r>
      <t>(E)              Costs of inkind     contributions      not used on     the      beneficiary's       premises/</t>
    </r>
    <r>
      <rPr>
        <sz val="10"/>
        <rFont val="Calibri"/>
        <family val="2"/>
      </rPr>
      <t>€</t>
    </r>
  </si>
  <si>
    <r>
      <t>(F)               Indirect Costs/</t>
    </r>
    <r>
      <rPr>
        <sz val="10"/>
        <rFont val="Calibri"/>
        <family val="2"/>
      </rPr>
      <t>€                            (=0,25(A+B-E)</t>
    </r>
  </si>
  <si>
    <t>(G)         Special unit        costs covering        direct &amp;         indirect costs</t>
  </si>
  <si>
    <r>
      <t>(H)             Total       estimated          eligible costs/</t>
    </r>
    <r>
      <rPr>
        <sz val="10"/>
        <rFont val="Calibri"/>
        <family val="2"/>
      </rPr>
      <t>€</t>
    </r>
    <r>
      <rPr>
        <sz val="10"/>
        <rFont val="Arial"/>
        <family val="2"/>
      </rPr>
      <t xml:space="preserve">     (=A+B+C+D+F+G)</t>
    </r>
  </si>
  <si>
    <t>(I)    Reinburse-ment rate</t>
  </si>
  <si>
    <r>
      <t>(J)          Max. Grant/</t>
    </r>
    <r>
      <rPr>
        <sz val="10"/>
        <rFont val="Calibri"/>
        <family val="2"/>
      </rPr>
      <t>€</t>
    </r>
    <r>
      <rPr>
        <sz val="10"/>
        <rFont val="Arial"/>
        <family val="2"/>
      </rPr>
      <t xml:space="preserve">   (=H*1)</t>
    </r>
  </si>
  <si>
    <r>
      <t>(K)      Requested grant/</t>
    </r>
    <r>
      <rPr>
        <sz val="10"/>
        <rFont val="Calibri"/>
        <family val="2"/>
      </rPr>
      <t>€</t>
    </r>
  </si>
  <si>
    <t>3 - Budget for the proposal</t>
  </si>
  <si>
    <t>Total</t>
  </si>
  <si>
    <t>EU - finansiering</t>
  </si>
  <si>
    <t>Annen finansiering</t>
  </si>
  <si>
    <t>EU - Prosjektbudsjett (kontrakt)</t>
  </si>
  <si>
    <t>EU's rammeprogram (H2020)</t>
  </si>
  <si>
    <t>Prosjektkategorisering ( Bidrag)</t>
  </si>
  <si>
    <t>Grunnlag for UiO sine interne styring (totalregnskapsføring)</t>
  </si>
  <si>
    <t>Innkjøp av FoU-tjenester/ Subcontracting</t>
  </si>
  <si>
    <t>Personnel</t>
  </si>
  <si>
    <t xml:space="preserve">Publications (incl. Open Access fees), etc. </t>
  </si>
  <si>
    <t>Other (please specify)</t>
  </si>
  <si>
    <t>ii. Total Other Direct Costs (in Euro)</t>
  </si>
  <si>
    <t>Other goods and services</t>
  </si>
  <si>
    <t>Students</t>
  </si>
  <si>
    <t>Postdocs</t>
  </si>
  <si>
    <t>i. Total Direct Costs for Personnel (in Euro)</t>
  </si>
  <si>
    <t>Direct Costs</t>
  </si>
  <si>
    <r>
      <t xml:space="preserve">A - Total direct Costs (i+ii) </t>
    </r>
    <r>
      <rPr>
        <sz val="12"/>
        <rFont val="Times New Roman"/>
        <family val="1"/>
      </rPr>
      <t>(in Euro)</t>
    </r>
  </si>
  <si>
    <r>
      <t xml:space="preserve">C1 - Subcontracting Costs </t>
    </r>
    <r>
      <rPr>
        <sz val="12"/>
        <rFont val="Times New Roman"/>
        <family val="1"/>
      </rPr>
      <t>(no overheads) (in Euro)</t>
    </r>
  </si>
  <si>
    <r>
      <t xml:space="preserve">Total Estimated Eligible Costs (A+B+C) </t>
    </r>
    <r>
      <rPr>
        <sz val="12"/>
        <rFont val="Times New Roman"/>
        <family val="1"/>
      </rPr>
      <t>(in Euro)</t>
    </r>
    <r>
      <rPr>
        <vertAlign val="superscript"/>
        <sz val="12"/>
        <rFont val="Times New Roman"/>
        <family val="1"/>
      </rPr>
      <t>6</t>
    </r>
  </si>
  <si>
    <r>
      <t xml:space="preserve">Total Requested EU Contribution </t>
    </r>
    <r>
      <rPr>
        <sz val="12"/>
        <rFont val="Times New Roman"/>
        <family val="1"/>
      </rPr>
      <t>(in Euro)</t>
    </r>
    <r>
      <rPr>
        <vertAlign val="superscript"/>
        <sz val="12"/>
        <rFont val="Times New Roman"/>
        <family val="1"/>
      </rPr>
      <t>6</t>
    </r>
  </si>
  <si>
    <r>
      <t xml:space="preserve">C2 - Other Direct costs with no over heads </t>
    </r>
    <r>
      <rPr>
        <sz val="12"/>
        <rFont val="Times New Roman"/>
        <family val="1"/>
      </rPr>
      <t>(in Euro)</t>
    </r>
    <r>
      <rPr>
        <vertAlign val="superscript"/>
        <sz val="12"/>
        <rFont val="Times New Roman"/>
        <family val="1"/>
      </rPr>
      <t>5</t>
    </r>
  </si>
  <si>
    <r>
      <t xml:space="preserve">B- Indirect Costs (overheads) </t>
    </r>
    <r>
      <rPr>
        <sz val="12"/>
        <rFont val="Times New Roman"/>
        <family val="1"/>
      </rPr>
      <t>25% of Direct Costs</t>
    </r>
    <r>
      <rPr>
        <vertAlign val="superscript"/>
        <sz val="12"/>
        <rFont val="Times New Roman"/>
        <family val="1"/>
      </rPr>
      <t>4</t>
    </r>
    <r>
      <rPr>
        <sz val="12"/>
        <rFont val="Times New Roman"/>
        <family val="1"/>
      </rPr>
      <t xml:space="preserve"> (in Euro)</t>
    </r>
  </si>
  <si>
    <r>
      <t>2</t>
    </r>
    <r>
      <rPr>
        <sz val="10"/>
        <rFont val="Times New Roman"/>
        <family val="1"/>
      </rPr>
      <t xml:space="preserve"> An additional cost category 'Direct costing for Large Research Infrastructures' applicable to H2020 can be added to this table (below ‘Other Goods and services’) for PIs who are hosted by institutions with Large Research Infrastructures of a value of at least EUR 20 million and </t>
    </r>
    <r>
      <rPr>
        <b/>
        <sz val="10"/>
        <rFont val="Times New Roman"/>
        <family val="1"/>
      </rPr>
      <t>only</t>
    </r>
    <r>
      <rPr>
        <sz val="10"/>
        <rFont val="Times New Roman"/>
        <family val="1"/>
      </rPr>
      <t xml:space="preserve"> after having received a positive ex-ante assessment from the Commission's services (see ‘</t>
    </r>
    <r>
      <rPr>
        <i/>
        <sz val="10"/>
        <rFont val="Times New Roman"/>
        <family val="1"/>
      </rPr>
      <t xml:space="preserve">Information for Applicants to the Starting and Consolidator Grant 2014 Calls’ </t>
    </r>
    <r>
      <rPr>
        <sz val="10"/>
        <rFont val="Times New Roman"/>
        <family val="1"/>
      </rPr>
      <t>for more details).</t>
    </r>
  </si>
  <si>
    <r>
      <t>4</t>
    </r>
    <r>
      <rPr>
        <sz val="10"/>
        <rFont val="Times New Roman"/>
        <family val="1"/>
      </rPr>
      <t xml:space="preserve"> Please note that the overheads are fixed to a flat rate of exactly 25%.</t>
    </r>
  </si>
  <si>
    <r>
      <t>5</t>
    </r>
    <r>
      <rPr>
        <sz val="10"/>
        <rFont val="Times New Roman"/>
        <family val="1"/>
      </rPr>
      <t>Such as the costs of resources made available by third parties which are not used on the premises of the beneficiary (see ‘</t>
    </r>
    <r>
      <rPr>
        <i/>
        <sz val="10"/>
        <rFont val="Times New Roman"/>
        <family val="1"/>
      </rPr>
      <t xml:space="preserve">Information for Applicants to the Starting and Consolidator Grant 2014 Calls’ </t>
    </r>
    <r>
      <rPr>
        <sz val="10"/>
        <rFont val="Times New Roman"/>
        <family val="1"/>
      </rPr>
      <t>for details).</t>
    </r>
  </si>
  <si>
    <r>
      <t>6</t>
    </r>
    <r>
      <rPr>
        <sz val="10"/>
        <rFont val="Times New Roman"/>
        <family val="1"/>
      </rPr>
      <t xml:space="preserve"> These figures MUST match those presented in the online proposal submission form, section 3 – Budget.</t>
    </r>
  </si>
  <si>
    <t>Periode 1 (1-18 month)</t>
  </si>
  <si>
    <t>Periode 2 (19-36 month)</t>
  </si>
  <si>
    <t>Periode 3 (37-54 month)</t>
  </si>
  <si>
    <t>Total in Euro</t>
  </si>
  <si>
    <r>
      <t>3</t>
    </r>
    <r>
      <rPr>
        <sz val="10"/>
        <rFont val="Times New Roman"/>
        <family val="1"/>
      </rPr>
      <t xml:space="preserve"> When calculating the salary, please take into account the percentage of your dedicated working time to run the ERC funded project (i.e. minimum 50% of your total working time for StG and CoG, 30% for AdG). </t>
    </r>
  </si>
  <si>
    <t>Periode 4 (55-60 (72))</t>
  </si>
  <si>
    <t>Periode 4 (55-60 (72) month)</t>
  </si>
  <si>
    <t>totale kostnader</t>
  </si>
  <si>
    <t>direkte kostnader - grunnlag eu -inntekt</t>
  </si>
  <si>
    <t>Eu-inntekt</t>
  </si>
  <si>
    <t>Publikasjoner</t>
  </si>
  <si>
    <t>Lønnsjustering vil gjelder i alle årene i projektetes levetid</t>
  </si>
  <si>
    <r>
      <t xml:space="preserve">Kort begrunnelse for prosjektes faglige interesse. </t>
    </r>
    <r>
      <rPr>
        <sz val="11"/>
        <color rgb="FFFF0000"/>
        <rFont val="Calibri"/>
        <family val="2"/>
        <scheme val="minor"/>
      </rPr>
      <t>*</t>
    </r>
  </si>
  <si>
    <t>660000 - 669998 EU forskning/ rammeprogrammer Horizon 2020</t>
  </si>
  <si>
    <t xml:space="preserve">Andre driftskostnader </t>
  </si>
  <si>
    <t>Forsker-professor, Forsker-1.amanuensis, Forsker (rundsum), Gjesteforsker</t>
  </si>
  <si>
    <t>Reiser /konferanser</t>
  </si>
  <si>
    <t>Investeringer /utstyr</t>
  </si>
  <si>
    <t xml:space="preserve">Lab. /feltundersøkelser </t>
  </si>
  <si>
    <t>Innkjøp av FoU-tjenester /subcontracting</t>
  </si>
  <si>
    <t>"Cost Category" tilsvarer følegdene  kostnader fra arkfanen "Budsjett":</t>
  </si>
  <si>
    <t>LTB_UiO</t>
  </si>
  <si>
    <t>Gjennomsnitt for perioden</t>
  </si>
  <si>
    <t>Valutakurs (må forankres hos instituttleder)</t>
  </si>
  <si>
    <t>Dato (etablering av budsjettet)</t>
  </si>
  <si>
    <t>Teknisk /administrativ bistand/timebasertlønn</t>
  </si>
  <si>
    <t>Oversikt over endringer som er foretatt i budsjetteringsmalen (gjeldende fra 20/10/2014):</t>
  </si>
  <si>
    <t>Beskrivelse av endring</t>
  </si>
  <si>
    <t xml:space="preserve">Utført av </t>
  </si>
  <si>
    <t>Kommentarfeltene under drift på budsjettarkfanen er Wrap'et slik at lengre tekst legges seg på flere linjer.</t>
  </si>
  <si>
    <t>Terje</t>
  </si>
  <si>
    <t>651000 - 651998 EU  Horizon 2020</t>
  </si>
  <si>
    <t>Endret prosjektnummerserie til 651000 til 651998</t>
  </si>
  <si>
    <t>lønnsmultiplikatoren er oppdatert med lønnsvekst 2015, samt pensjonssatser.</t>
  </si>
  <si>
    <t xml:space="preserve">terje </t>
  </si>
  <si>
    <t>lønnsvektst for 2015 oppdatert med 3%</t>
  </si>
  <si>
    <t xml:space="preserve">Terje </t>
  </si>
  <si>
    <t>Malen er oppdatert med nye TDI-satser som et glidende gjennomsnitt av regnskapstall for hhv 2012, 2013 og 2014.</t>
  </si>
  <si>
    <t>Malen er oppdatert med nye lønnstabeller for 2015 og derfor null i lønnsvekst for 2015.</t>
  </si>
  <si>
    <t>Arkfanen "intern oversikt" er tilrettelagt slik at det "reelle nettobidraget" fremkommer - se budsjettarkfanen celle F67-69</t>
  </si>
  <si>
    <t>terje</t>
  </si>
  <si>
    <t>Endret på tilknytning til lønnsmultiplikatoren slik at søknadsmalen er i overensstemmelse med Buddy - små utslag!</t>
  </si>
  <si>
    <t>Malen er oppdatert nye TDI-satser for 2016 som et vektet snitt av årene 2013-2015.</t>
  </si>
  <si>
    <t>Lagt inn lønnstabell gjeldende fra mai 2016. Pga 2 ulike tariffavtaler i årets oppgjør er det den som gjelder Lo-stat, Unio og YS- stat som er lagt inn.</t>
  </si>
  <si>
    <t>Lønnmultiplikatoren er oppdatert med ny lønnstabell (se punkt over), samt endret pensjonssats.</t>
  </si>
  <si>
    <t>Arkfanene er tilpasset slik at innholdet kommer på 1 utskriftsside.</t>
  </si>
  <si>
    <t>Stillingskategori iht EU's terminologi</t>
  </si>
  <si>
    <t>Stillingskategorier</t>
  </si>
  <si>
    <t>Stillingskategorier EU</t>
  </si>
  <si>
    <t xml:space="preserve">Principal investigator </t>
  </si>
  <si>
    <t>Arkfanen "budsjett" er tilrettelagt slik at valg av stillingskategori i kolonne A automatisk grupperer seg inn i riktig stillingskategori iht EU sine krav i "Budsjett_ERC for the proposal"</t>
  </si>
  <si>
    <t>"Budsjett ERC for the proposal" - endret formel slik at lønnskostnadene per stillingskategorik inkluderer lønnsøkning (Periode 1 var i utgangspunktet kopiert over til de øvrige periodene)</t>
  </si>
  <si>
    <t xml:space="preserve">Timelønn er i "budget ERC for the proposal" summert under "other". Tidligere var timelønn utelatt fra summeringene under de respektive kategoriene. </t>
  </si>
  <si>
    <t xml:space="preserve">Malen er oppdatert med nye TDI satser for 2017, gjennomsnitt for årene 2014-2016  </t>
  </si>
  <si>
    <t>Beregning av valuta etter vedtatt modell for valutapolicy:</t>
  </si>
  <si>
    <t xml:space="preserve"> fratrekk risikofaktor</t>
  </si>
  <si>
    <t>Policykurs for innev. Periode</t>
  </si>
  <si>
    <t xml:space="preserve">Eventuell manuell overstyring: </t>
  </si>
  <si>
    <t xml:space="preserve">se link: </t>
  </si>
  <si>
    <t>valutapolicy</t>
  </si>
  <si>
    <t xml:space="preserve">Lagt inn vedtatt valutapolicy som standard valutakurs, og mulighet for manuell overstyring. </t>
  </si>
  <si>
    <t>Mal oppdatert med ny lønnstabell og lønnsmultiplikator med nye pensjonssatser</t>
  </si>
  <si>
    <t xml:space="preserve">Iht vedtatt valutapolicy er forslag til valutakurs endret. Forslaget tar utgangspunkt i snittet fra 1. september 2015 til 1. september 2017 med fratrekk for 0,25 prosentpoeng i risikopremie. </t>
  </si>
  <si>
    <t>Ja</t>
  </si>
  <si>
    <t>TDI</t>
  </si>
  <si>
    <t>Snittkurs 01.09.2018 - 01.09.2020</t>
  </si>
  <si>
    <t>Indirect costs (7% flat rate)</t>
  </si>
  <si>
    <t>Tabell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</si>
</sst>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_ * #,##0.00_ ;_ * \-#,##0.00_ ;_ * &quot;-&quot;??_ ;_ @_ "/>
    <numFmt numFmtId="166" formatCode="#,##0.000"/>
    <numFmt numFmtId="167" formatCode="[$-414]d/\ mmm\.\ yyyy;@"/>
    <numFmt numFmtId="168" formatCode="_ * #,##0_ ;_ * \-#,##0_ ;_ * &quot;-&quot;??_ ;_ @_ "/>
    <numFmt numFmtId="169" formatCode="_(* #,##0_);_(* \(#,##0\);_(* &quot;-&quot;??_);_(@_)"/>
    <numFmt numFmtId="170" formatCode="0.0"/>
    <numFmt numFmtId="171" formatCode="#,###,"/>
    <numFmt numFmtId="172" formatCode="0.000\ %"/>
    <numFmt numFmtId="173" formatCode="0.0\ %"/>
    <numFmt numFmtId="174" formatCode="&quot;kr&quot;\ #,##0"/>
    <numFmt numFmtId="175" formatCode="0.000"/>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10"/>
      <name val="Arial"/>
      <family val="2"/>
    </font>
    <font>
      <sz val="10"/>
      <name val="Arial"/>
      <family val="2"/>
    </font>
    <font>
      <sz val="10"/>
      <name val="Arial"/>
      <family val="2"/>
    </font>
    <font>
      <b/>
      <i/>
      <sz val="8"/>
      <name val="Arial"/>
      <family val="2"/>
    </font>
    <font>
      <b/>
      <sz val="9"/>
      <name val="Arial"/>
      <family val="2"/>
    </font>
    <font>
      <sz val="9"/>
      <name val="Arial"/>
      <family val="2"/>
    </font>
    <font>
      <u/>
      <sz val="10"/>
      <color theme="10"/>
      <name val="Arial"/>
      <family val="2"/>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indexed="8"/>
      <name val="Calibri"/>
      <family val="2"/>
    </font>
    <font>
      <b/>
      <sz val="11"/>
      <name val="Calibri"/>
      <family val="2"/>
      <scheme val="minor"/>
    </font>
    <font>
      <sz val="10"/>
      <name val="Calibri"/>
      <family val="2"/>
      <scheme val="minor"/>
    </font>
    <font>
      <b/>
      <sz val="16"/>
      <color theme="1"/>
      <name val="Calibri"/>
      <family val="2"/>
      <scheme val="minor"/>
    </font>
    <font>
      <sz val="8.1"/>
      <name val="Arial"/>
      <family val="2"/>
    </font>
    <font>
      <b/>
      <sz val="12.3"/>
      <name val="Arial"/>
      <family val="2"/>
    </font>
    <font>
      <b/>
      <sz val="10"/>
      <name val="Calibri"/>
      <family val="2"/>
      <scheme val="minor"/>
    </font>
    <font>
      <b/>
      <sz val="14"/>
      <name val="Calibri"/>
      <family val="2"/>
      <scheme val="minor"/>
    </font>
    <font>
      <sz val="8"/>
      <name val="Calibri"/>
      <family val="2"/>
      <scheme val="minor"/>
    </font>
    <font>
      <b/>
      <sz val="12"/>
      <name val="Calibri"/>
      <family val="2"/>
      <scheme val="minor"/>
    </font>
    <font>
      <b/>
      <sz val="16"/>
      <name val="Calibri"/>
      <family val="2"/>
      <scheme val="minor"/>
    </font>
    <font>
      <sz val="11"/>
      <color rgb="FF000000"/>
      <name val="Calibri"/>
      <family val="2"/>
    </font>
    <font>
      <b/>
      <sz val="14"/>
      <color theme="1"/>
      <name val="Calibri"/>
      <family val="2"/>
      <scheme val="minor"/>
    </font>
    <font>
      <i/>
      <sz val="8"/>
      <name val="Arial"/>
      <family val="2"/>
    </font>
    <font>
      <i/>
      <sz val="11"/>
      <name val="Calibri"/>
      <family val="2"/>
      <scheme val="minor"/>
    </font>
    <font>
      <sz val="8"/>
      <color theme="1"/>
      <name val="Calibri"/>
      <family val="2"/>
      <scheme val="minor"/>
    </font>
    <font>
      <b/>
      <sz val="9"/>
      <color indexed="81"/>
      <name val="Tahoma"/>
      <family val="2"/>
    </font>
    <font>
      <sz val="9"/>
      <color indexed="81"/>
      <name val="Tahoma"/>
      <family val="2"/>
    </font>
    <font>
      <sz val="12"/>
      <name val="Calibri"/>
      <family val="2"/>
      <scheme val="minor"/>
    </font>
    <font>
      <sz val="12"/>
      <color theme="1"/>
      <name val="Calibri"/>
      <family val="2"/>
      <scheme val="minor"/>
    </font>
    <font>
      <sz val="10"/>
      <name val="Calibri"/>
      <family val="2"/>
    </font>
    <font>
      <sz val="12"/>
      <color rgb="FF0070C0"/>
      <name val="Arial"/>
      <family val="2"/>
    </font>
    <font>
      <b/>
      <sz val="12"/>
      <color theme="1"/>
      <name val="Calibri"/>
      <family val="2"/>
      <scheme val="minor"/>
    </font>
    <font>
      <b/>
      <sz val="12"/>
      <name val="Times New Roman"/>
      <family val="1"/>
    </font>
    <font>
      <sz val="12"/>
      <name val="Times New Roman"/>
      <family val="1"/>
    </font>
    <font>
      <i/>
      <sz val="12"/>
      <name val="Times New Roman"/>
      <family val="1"/>
    </font>
    <font>
      <vertAlign val="superscript"/>
      <sz val="12"/>
      <name val="Times New Roman"/>
      <family val="1"/>
    </font>
    <font>
      <sz val="10"/>
      <name val="Times New Roman"/>
      <family val="1"/>
    </font>
    <font>
      <vertAlign val="superscript"/>
      <sz val="10"/>
      <name val="Times New Roman"/>
      <family val="1"/>
    </font>
    <font>
      <b/>
      <sz val="10"/>
      <name val="Times New Roman"/>
      <family val="1"/>
    </font>
    <font>
      <i/>
      <sz val="10"/>
      <name val="Times New Roman"/>
      <family val="1"/>
    </font>
    <font>
      <sz val="10"/>
      <color rgb="FFFFFF00"/>
      <name val="Arial"/>
      <family val="2"/>
    </font>
    <font>
      <sz val="10"/>
      <color rgb="FFFF0000"/>
      <name val="Arial"/>
      <family val="2"/>
    </font>
    <font>
      <sz val="11"/>
      <color theme="0"/>
      <name val="Calibri"/>
      <family val="2"/>
      <scheme val="minor"/>
    </font>
    <font>
      <sz val="11"/>
      <name val="Calibri"/>
      <family val="2"/>
    </font>
    <font>
      <sz val="10"/>
      <name val="Times"/>
      <family val="1"/>
    </font>
    <font>
      <sz val="10"/>
      <name val="Times"/>
      <family val="1"/>
    </font>
    <font>
      <b/>
      <sz val="11"/>
      <name val="Arial"/>
      <family val="2"/>
    </font>
    <font>
      <sz val="10"/>
      <name val="Times"/>
      <family val="1"/>
    </font>
    <font>
      <sz val="10"/>
      <name val="MS Sans Serif"/>
      <family val="2"/>
    </font>
    <font>
      <b/>
      <i/>
      <sz val="11"/>
      <color theme="1"/>
      <name val="Calibri"/>
      <family val="2"/>
      <scheme val="minor"/>
    </font>
  </fonts>
  <fills count="19">
    <fill>
      <patternFill patternType="none"/>
    </fill>
    <fill>
      <patternFill patternType="gray125"/>
    </fill>
    <fill>
      <patternFill patternType="solid">
        <fgColor indexed="13"/>
        <bgColor indexed="64"/>
      </patternFill>
    </fill>
    <fill>
      <patternFill patternType="solid">
        <fgColor rgb="FFFFFFCC"/>
      </patternFill>
    </fill>
    <fill>
      <patternFill patternType="solid">
        <fgColor theme="4" tint="0.79998168889431442"/>
        <bgColor theme="4" tint="0.79998168889431442"/>
      </patternFill>
    </fill>
    <fill>
      <patternFill patternType="solid">
        <fgColor rgb="FFFFFFCC"/>
        <bgColor indexed="64"/>
      </patternFill>
    </fill>
    <fill>
      <patternFill patternType="solid">
        <fgColor theme="4" tint="0.39997558519241921"/>
        <bgColor theme="4" tint="0.79998168889431442"/>
      </patternFill>
    </fill>
    <fill>
      <patternFill patternType="solid">
        <fgColor theme="4" tint="0.59999389629810485"/>
        <bgColor indexed="64"/>
      </patternFill>
    </fill>
    <fill>
      <patternFill patternType="solid">
        <fgColor theme="4" tint="-0.249977111117893"/>
        <bgColor theme="4" tint="0.79998168889431442"/>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C0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theme="4" tint="0.39982299264503923"/>
      </right>
      <top/>
      <bottom/>
      <diagonal/>
    </border>
    <border>
      <left style="thin">
        <color indexed="22"/>
      </left>
      <right style="thin">
        <color indexed="22"/>
      </right>
      <top/>
      <bottom style="thin">
        <color indexed="22"/>
      </bottom>
      <diagonal/>
    </border>
    <border>
      <left style="thin">
        <color rgb="FFB2B2B2"/>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indexed="22"/>
      </bottom>
      <diagonal/>
    </border>
    <border>
      <left style="thin">
        <color rgb="FFB2B2B2"/>
      </left>
      <right style="thin">
        <color rgb="FFB2B2B2"/>
      </right>
      <top/>
      <bottom style="thin">
        <color indexed="22"/>
      </bottom>
      <diagonal/>
    </border>
    <border>
      <left style="thin">
        <color rgb="FFB2B2B2"/>
      </left>
      <right style="thin">
        <color rgb="FFB2B2B2"/>
      </right>
      <top/>
      <bottom/>
      <diagonal/>
    </border>
    <border>
      <left style="thin">
        <color rgb="FFB2B2B2"/>
      </left>
      <right/>
      <top/>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right style="thin">
        <color theme="4" tint="0.39982299264503923"/>
      </right>
      <top/>
      <bottom style="thin">
        <color theme="4" tint="0.399914548173467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medium">
        <color rgb="FFE4E4E4"/>
      </left>
      <right style="medium">
        <color rgb="FFE4E4E4"/>
      </right>
      <top style="medium">
        <color rgb="FFE4E4E4"/>
      </top>
      <bottom style="medium">
        <color rgb="FFE4E4E4"/>
      </bottom>
      <diagonal/>
    </border>
    <border>
      <left style="thin">
        <color rgb="FFB2B2B2"/>
      </left>
      <right style="thin">
        <color rgb="FFB2B2B2"/>
      </right>
      <top style="thin">
        <color indexed="22"/>
      </top>
      <bottom style="thin">
        <color rgb="FFB2B2B2"/>
      </bottom>
      <diagonal/>
    </border>
    <border>
      <left style="thin">
        <color theme="4" tint="0.39994506668294322"/>
      </left>
      <right style="thin">
        <color theme="4" tint="0.39994506668294322"/>
      </right>
      <top/>
      <bottom style="thin">
        <color theme="4" tint="0.39994506668294322"/>
      </bottom>
      <diagonal/>
    </border>
    <border>
      <left style="thin">
        <color rgb="FFB2B2B2"/>
      </left>
      <right style="thin">
        <color rgb="FFB2B2B2"/>
      </right>
      <top style="thin">
        <color rgb="FFB2B2B2"/>
      </top>
      <bottom style="thin">
        <color indexed="2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rgb="FFB2B2B2"/>
      </right>
      <top/>
      <bottom style="thin">
        <color rgb="FFB2B2B2"/>
      </bottom>
      <diagonal/>
    </border>
    <border>
      <left/>
      <right style="thin">
        <color theme="0" tint="-0.24994659260841701"/>
      </right>
      <top style="thin">
        <color rgb="FFB2B2B2"/>
      </top>
      <bottom/>
      <diagonal/>
    </border>
    <border>
      <left/>
      <right style="thin">
        <color theme="0" tint="-0.24994659260841701"/>
      </right>
      <top/>
      <bottom style="thin">
        <color rgb="FFB2B2B2"/>
      </bottom>
      <diagonal/>
    </border>
    <border>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rgb="FFB2B2B2"/>
      </right>
      <top/>
      <bottom style="thin">
        <color indexed="22"/>
      </bottom>
      <diagonal/>
    </border>
    <border>
      <left style="thin">
        <color theme="4" tint="0.39994506668294322"/>
      </left>
      <right style="thin">
        <color indexed="64"/>
      </right>
      <top style="thin">
        <color indexed="64"/>
      </top>
      <bottom style="thin">
        <color theme="4" tint="0.39994506668294322"/>
      </bottom>
      <diagonal/>
    </border>
    <border>
      <left style="thin">
        <color rgb="FFB2B2B2"/>
      </left>
      <right style="thin">
        <color indexed="64"/>
      </right>
      <top style="thin">
        <color rgb="FFB2B2B2"/>
      </top>
      <bottom style="thin">
        <color rgb="FFB2B2B2"/>
      </bottom>
      <diagonal/>
    </border>
    <border>
      <left style="thin">
        <color theme="4" tint="0.3999450666829432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84">
    <xf numFmtId="0" fontId="0" fillId="0" borderId="0"/>
    <xf numFmtId="165" fontId="45" fillId="0" borderId="0" applyFont="0" applyFill="0" applyBorder="0" applyAlignment="0" applyProtection="0"/>
    <xf numFmtId="167" fontId="44" fillId="0" borderId="0" applyFont="0" applyFill="0" applyBorder="0" applyAlignment="0" applyProtection="0"/>
    <xf numFmtId="0" fontId="49" fillId="0" borderId="0" applyNumberFormat="0" applyFill="0" applyBorder="0" applyAlignment="0" applyProtection="0">
      <alignment vertical="top"/>
      <protection locked="0"/>
    </xf>
    <xf numFmtId="0" fontId="44" fillId="0" borderId="0"/>
    <xf numFmtId="9" fontId="45" fillId="0" borderId="0" applyFont="0" applyFill="0" applyBorder="0" applyAlignment="0" applyProtection="0"/>
    <xf numFmtId="9" fontId="44" fillId="0" borderId="0" applyFont="0" applyFill="0" applyBorder="0" applyAlignment="0" applyProtection="0"/>
    <xf numFmtId="0" fontId="50" fillId="3" borderId="11" applyNumberFormat="0" applyFont="0" applyAlignment="0" applyProtection="0"/>
    <xf numFmtId="0" fontId="40" fillId="0" borderId="0"/>
    <xf numFmtId="165" fontId="40" fillId="0" borderId="0" applyFont="0" applyFill="0" applyBorder="0" applyAlignment="0" applyProtection="0"/>
    <xf numFmtId="165" fontId="55" fillId="0" borderId="0" applyFont="0" applyFill="0" applyBorder="0" applyAlignment="0" applyProtection="0"/>
    <xf numFmtId="0" fontId="66" fillId="0" borderId="0"/>
    <xf numFmtId="0" fontId="36" fillId="0" borderId="0"/>
    <xf numFmtId="0" fontId="90" fillId="0" borderId="0"/>
    <xf numFmtId="9" fontId="91" fillId="0" borderId="0" applyFont="0" applyFill="0" applyBorder="0" applyAlignment="0" applyProtection="0"/>
    <xf numFmtId="0" fontId="12" fillId="0" borderId="0"/>
    <xf numFmtId="0" fontId="12" fillId="0" borderId="0"/>
    <xf numFmtId="0" fontId="93" fillId="0" borderId="0"/>
    <xf numFmtId="9" fontId="90" fillId="0" borderId="0" applyFont="0" applyFill="0" applyBorder="0" applyAlignment="0" applyProtection="0"/>
    <xf numFmtId="0" fontId="9" fillId="0" borderId="0"/>
    <xf numFmtId="0" fontId="9" fillId="0" borderId="0"/>
    <xf numFmtId="0" fontId="9" fillId="0" borderId="0"/>
    <xf numFmtId="0" fontId="94" fillId="0" borderId="0"/>
    <xf numFmtId="0" fontId="9" fillId="0" borderId="0"/>
    <xf numFmtId="165" fontId="44" fillId="0" borderId="0" applyFont="0" applyFill="0" applyBorder="0" applyAlignment="0" applyProtection="0"/>
    <xf numFmtId="0" fontId="44" fillId="3" borderId="11" applyNumberFormat="0" applyFont="0" applyAlignment="0" applyProtection="0"/>
    <xf numFmtId="0" fontId="8" fillId="0" borderId="0"/>
    <xf numFmtId="165" fontId="8" fillId="0" borderId="0" applyFont="0" applyFill="0" applyBorder="0" applyAlignment="0" applyProtection="0"/>
    <xf numFmtId="0" fontId="8" fillId="0" borderId="0"/>
    <xf numFmtId="9" fontId="90" fillId="0" borderId="0" applyFont="0" applyFill="0" applyBorder="0" applyAlignment="0" applyProtection="0"/>
    <xf numFmtId="0" fontId="8" fillId="0" borderId="0"/>
    <xf numFmtId="0" fontId="8" fillId="0" borderId="0"/>
    <xf numFmtId="165" fontId="44" fillId="0" borderId="0" applyFont="0" applyFill="0" applyBorder="0" applyAlignment="0" applyProtection="0"/>
    <xf numFmtId="0" fontId="44" fillId="3" borderId="11" applyNumberFormat="0" applyFont="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90" fillId="0" borderId="0"/>
    <xf numFmtId="0" fontId="8" fillId="0" borderId="0"/>
    <xf numFmtId="0" fontId="8" fillId="0" borderId="0"/>
    <xf numFmtId="0" fontId="8" fillId="0" borderId="0"/>
    <xf numFmtId="0" fontId="94" fillId="0" borderId="0"/>
    <xf numFmtId="0" fontId="8" fillId="0" borderId="0"/>
    <xf numFmtId="165" fontId="90"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9" fontId="90"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9" fontId="90"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90"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9" fontId="90"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cellStyleXfs>
  <cellXfs count="517">
    <xf numFmtId="0" fontId="0" fillId="0" borderId="0" xfId="0"/>
    <xf numFmtId="0" fontId="0" fillId="0" borderId="0" xfId="0" applyProtection="1"/>
    <xf numFmtId="166" fontId="0" fillId="0" borderId="0" xfId="0" applyNumberFormat="1" applyProtection="1"/>
    <xf numFmtId="0" fontId="41" fillId="0" borderId="0" xfId="4" applyFont="1"/>
    <xf numFmtId="0" fontId="42" fillId="0" borderId="0" xfId="4" applyFont="1" applyBorder="1"/>
    <xf numFmtId="0" fontId="44" fillId="0" borderId="0" xfId="0" applyFont="1"/>
    <xf numFmtId="0" fontId="42" fillId="0" borderId="0" xfId="4" applyFont="1"/>
    <xf numFmtId="0" fontId="42" fillId="0" borderId="1" xfId="4" applyFont="1" applyBorder="1" applyAlignment="1">
      <alignment horizontal="center"/>
    </xf>
    <xf numFmtId="3" fontId="42" fillId="0" borderId="1" xfId="4" applyNumberFormat="1" applyFont="1" applyBorder="1"/>
    <xf numFmtId="0" fontId="42" fillId="0" borderId="0" xfId="4" applyFont="1" applyAlignment="1">
      <alignment horizontal="center"/>
    </xf>
    <xf numFmtId="0" fontId="42" fillId="0" borderId="1" xfId="4" applyFont="1" applyBorder="1"/>
    <xf numFmtId="3" fontId="42" fillId="0" borderId="1" xfId="4" applyNumberFormat="1" applyFont="1" applyBorder="1" applyAlignment="1">
      <alignment horizontal="center"/>
    </xf>
    <xf numFmtId="3" fontId="42" fillId="0" borderId="0" xfId="4" applyNumberFormat="1" applyFont="1" applyBorder="1"/>
    <xf numFmtId="0" fontId="47" fillId="0" borderId="0" xfId="0" applyFont="1" applyProtection="1"/>
    <xf numFmtId="0" fontId="48" fillId="0" borderId="0" xfId="0" applyFont="1"/>
    <xf numFmtId="0" fontId="0" fillId="0" borderId="0" xfId="0" applyBorder="1"/>
    <xf numFmtId="169" fontId="42" fillId="0" borderId="2" xfId="2" applyNumberFormat="1" applyFont="1" applyFill="1" applyBorder="1" applyProtection="1"/>
    <xf numFmtId="0" fontId="43" fillId="0" borderId="0" xfId="0" applyFont="1"/>
    <xf numFmtId="166" fontId="42" fillId="0" borderId="0" xfId="0" applyNumberFormat="1" applyFont="1" applyProtection="1"/>
    <xf numFmtId="166" fontId="42" fillId="0" borderId="0" xfId="4" applyNumberFormat="1" applyFont="1" applyBorder="1"/>
    <xf numFmtId="0" fontId="53" fillId="0" borderId="0" xfId="8" applyFont="1"/>
    <xf numFmtId="3" fontId="54" fillId="0" borderId="13" xfId="9" applyNumberFormat="1" applyFont="1" applyFill="1" applyBorder="1" applyAlignment="1" applyProtection="1">
      <alignment horizontal="right"/>
    </xf>
    <xf numFmtId="168" fontId="54" fillId="0" borderId="16" xfId="10" applyNumberFormat="1" applyFont="1" applyFill="1" applyBorder="1" applyAlignment="1" applyProtection="1">
      <alignment horizontal="center"/>
    </xf>
    <xf numFmtId="3" fontId="54" fillId="0" borderId="0" xfId="9" applyNumberFormat="1" applyFont="1" applyFill="1" applyBorder="1" applyAlignment="1" applyProtection="1">
      <alignment horizontal="right"/>
    </xf>
    <xf numFmtId="168" fontId="54" fillId="0" borderId="16" xfId="10" applyNumberFormat="1" applyFont="1" applyFill="1" applyBorder="1" applyAlignment="1" applyProtection="1"/>
    <xf numFmtId="3" fontId="56" fillId="0" borderId="13" xfId="9" applyNumberFormat="1" applyFont="1" applyFill="1" applyBorder="1" applyAlignment="1" applyProtection="1">
      <alignment horizontal="right"/>
    </xf>
    <xf numFmtId="168" fontId="54" fillId="0" borderId="17" xfId="10" applyNumberFormat="1" applyFont="1" applyFill="1" applyBorder="1" applyAlignment="1" applyProtection="1"/>
    <xf numFmtId="168" fontId="54" fillId="0" borderId="18" xfId="10" applyNumberFormat="1" applyFont="1" applyFill="1" applyBorder="1" applyAlignment="1" applyProtection="1"/>
    <xf numFmtId="0" fontId="58" fillId="0" borderId="0" xfId="8" applyFont="1"/>
    <xf numFmtId="3" fontId="53" fillId="4" borderId="19" xfId="8" applyNumberFormat="1" applyFont="1" applyFill="1" applyBorder="1" applyAlignment="1">
      <alignment horizontal="center" wrapText="1"/>
    </xf>
    <xf numFmtId="0" fontId="51" fillId="6" borderId="20" xfId="8" applyFont="1" applyFill="1" applyBorder="1" applyAlignment="1">
      <alignment horizontal="left" indent="1"/>
    </xf>
    <xf numFmtId="0" fontId="51" fillId="8" borderId="21" xfId="8" applyFont="1" applyFill="1" applyBorder="1"/>
    <xf numFmtId="168" fontId="51" fillId="8" borderId="21" xfId="8" applyNumberFormat="1" applyFont="1" applyFill="1" applyBorder="1"/>
    <xf numFmtId="168" fontId="56" fillId="9" borderId="12" xfId="9" applyNumberFormat="1" applyFont="1" applyFill="1" applyBorder="1"/>
    <xf numFmtId="168" fontId="56" fillId="7" borderId="23" xfId="9" applyNumberFormat="1" applyFont="1" applyFill="1" applyBorder="1"/>
    <xf numFmtId="168" fontId="54" fillId="7" borderId="23" xfId="9" applyNumberFormat="1" applyFont="1" applyFill="1" applyBorder="1"/>
    <xf numFmtId="0" fontId="59" fillId="0" borderId="0" xfId="0" applyFont="1" applyAlignment="1">
      <alignment horizontal="left" vertical="center" indent="2"/>
    </xf>
    <xf numFmtId="0" fontId="60" fillId="0" borderId="28" xfId="0" applyFont="1" applyBorder="1" applyAlignment="1">
      <alignment horizontal="left" vertical="center"/>
    </xf>
    <xf numFmtId="168" fontId="51" fillId="8" borderId="30" xfId="8" applyNumberFormat="1" applyFont="1" applyFill="1" applyBorder="1"/>
    <xf numFmtId="168" fontId="54" fillId="0" borderId="29" xfId="10" applyNumberFormat="1" applyFont="1" applyFill="1" applyBorder="1" applyAlignment="1" applyProtection="1">
      <alignment horizontal="center"/>
    </xf>
    <xf numFmtId="168" fontId="54" fillId="0" borderId="11" xfId="10" applyNumberFormat="1" applyFont="1" applyFill="1" applyBorder="1" applyAlignment="1" applyProtection="1">
      <alignment horizontal="center"/>
    </xf>
    <xf numFmtId="168" fontId="54" fillId="0" borderId="31" xfId="10" applyNumberFormat="1" applyFont="1" applyFill="1" applyBorder="1" applyAlignment="1" applyProtection="1">
      <alignment horizontal="center"/>
    </xf>
    <xf numFmtId="0" fontId="39" fillId="0" borderId="0" xfId="8" applyFont="1"/>
    <xf numFmtId="168" fontId="54" fillId="0" borderId="24" xfId="1" applyNumberFormat="1" applyFont="1" applyFill="1" applyBorder="1" applyProtection="1"/>
    <xf numFmtId="0" fontId="61" fillId="0" borderId="0" xfId="0" applyFont="1" applyProtection="1"/>
    <xf numFmtId="0" fontId="57" fillId="0" borderId="0" xfId="0" applyFont="1" applyProtection="1"/>
    <xf numFmtId="0" fontId="62" fillId="0" borderId="0" xfId="0" applyFont="1" applyProtection="1"/>
    <xf numFmtId="0" fontId="57" fillId="0" borderId="0" xfId="0" applyFont="1" applyBorder="1" applyAlignment="1" applyProtection="1"/>
    <xf numFmtId="0" fontId="57" fillId="0" borderId="0" xfId="0" applyFont="1"/>
    <xf numFmtId="0" fontId="56" fillId="0" borderId="0" xfId="0" applyFont="1" applyProtection="1"/>
    <xf numFmtId="0" fontId="63" fillId="0" borderId="0" xfId="4" applyFont="1"/>
    <xf numFmtId="0" fontId="61" fillId="0" borderId="8" xfId="0" applyNumberFormat="1" applyFont="1" applyBorder="1" applyAlignment="1" applyProtection="1">
      <alignment horizontal="center"/>
    </xf>
    <xf numFmtId="0" fontId="57" fillId="0" borderId="1" xfId="0" applyFont="1" applyBorder="1" applyProtection="1"/>
    <xf numFmtId="168" fontId="57" fillId="0" borderId="1" xfId="1" applyNumberFormat="1" applyFont="1" applyBorder="1" applyProtection="1"/>
    <xf numFmtId="0" fontId="61" fillId="0" borderId="0" xfId="0" applyFont="1" applyAlignment="1" applyProtection="1">
      <alignment horizontal="center"/>
    </xf>
    <xf numFmtId="0" fontId="64" fillId="0" borderId="0" xfId="0" applyFont="1" applyProtection="1"/>
    <xf numFmtId="3" fontId="57" fillId="5" borderId="1" xfId="4" applyNumberFormat="1" applyFont="1" applyFill="1" applyBorder="1" applyProtection="1">
      <protection locked="0"/>
    </xf>
    <xf numFmtId="0" fontId="39" fillId="7" borderId="22" xfId="8" applyFont="1" applyFill="1" applyBorder="1" applyAlignment="1">
      <alignment horizontal="left"/>
    </xf>
    <xf numFmtId="3" fontId="39" fillId="0" borderId="0" xfId="8" applyNumberFormat="1" applyFont="1"/>
    <xf numFmtId="0" fontId="39" fillId="0" borderId="0" xfId="8" applyFont="1" applyBorder="1"/>
    <xf numFmtId="168" fontId="39" fillId="3" borderId="11" xfId="1" applyNumberFormat="1" applyFont="1" applyFill="1" applyBorder="1" applyProtection="1">
      <protection locked="0"/>
    </xf>
    <xf numFmtId="0" fontId="65" fillId="0" borderId="0" xfId="0" applyFont="1" applyProtection="1"/>
    <xf numFmtId="3" fontId="57" fillId="0" borderId="0" xfId="0" applyNumberFormat="1" applyFont="1" applyProtection="1"/>
    <xf numFmtId="0" fontId="63" fillId="0" borderId="1" xfId="4" applyFont="1" applyBorder="1" applyAlignment="1">
      <alignment horizontal="center" wrapText="1"/>
    </xf>
    <xf numFmtId="0" fontId="63" fillId="0" borderId="1" xfId="4" applyFont="1" applyBorder="1" applyAlignment="1">
      <alignment horizontal="center"/>
    </xf>
    <xf numFmtId="1" fontId="39" fillId="3" borderId="11" xfId="7" applyNumberFormat="1" applyFont="1" applyAlignment="1" applyProtection="1">
      <alignment horizontal="center"/>
      <protection locked="0"/>
    </xf>
    <xf numFmtId="170" fontId="39" fillId="3" borderId="11" xfId="7" applyNumberFormat="1" applyFont="1" applyProtection="1">
      <protection locked="0"/>
    </xf>
    <xf numFmtId="168" fontId="57" fillId="0" borderId="0" xfId="0" applyNumberFormat="1" applyFont="1" applyProtection="1"/>
    <xf numFmtId="0" fontId="39" fillId="0" borderId="40" xfId="8" applyFont="1" applyBorder="1"/>
    <xf numFmtId="0" fontId="39" fillId="0" borderId="41" xfId="8" applyFont="1" applyBorder="1"/>
    <xf numFmtId="0" fontId="39" fillId="0" borderId="42" xfId="8" applyFont="1" applyBorder="1"/>
    <xf numFmtId="0" fontId="39" fillId="0" borderId="0" xfId="8" applyFont="1" applyBorder="1" applyAlignment="1">
      <alignment horizontal="left" vertical="top" wrapText="1"/>
    </xf>
    <xf numFmtId="0" fontId="39" fillId="0" borderId="38" xfId="8" applyFont="1" applyBorder="1" applyAlignment="1">
      <alignment horizontal="left" vertical="top" wrapText="1"/>
    </xf>
    <xf numFmtId="0" fontId="39" fillId="0" borderId="39" xfId="8" applyFont="1" applyBorder="1" applyAlignment="1">
      <alignment horizontal="left" vertical="top" wrapText="1"/>
    </xf>
    <xf numFmtId="0" fontId="39" fillId="0" borderId="24" xfId="8" applyFont="1" applyBorder="1" applyAlignment="1">
      <alignment horizontal="left" vertical="top" wrapText="1"/>
    </xf>
    <xf numFmtId="0" fontId="39" fillId="0" borderId="40" xfId="8" applyFont="1" applyBorder="1" applyAlignment="1">
      <alignment horizontal="left" vertical="top" wrapText="1"/>
    </xf>
    <xf numFmtId="0" fontId="39" fillId="0" borderId="41" xfId="8" applyFont="1" applyBorder="1" applyAlignment="1">
      <alignment horizontal="left" vertical="top" wrapText="1"/>
    </xf>
    <xf numFmtId="0" fontId="39" fillId="0" borderId="42" xfId="8" applyFont="1" applyBorder="1" applyAlignment="1">
      <alignment horizontal="left" vertical="top" wrapText="1"/>
    </xf>
    <xf numFmtId="0" fontId="39" fillId="0" borderId="40" xfId="8" applyFont="1" applyBorder="1" applyAlignment="1">
      <alignment horizontal="left" vertical="top"/>
    </xf>
    <xf numFmtId="0" fontId="62" fillId="0" borderId="0" xfId="0" applyFont="1" applyAlignment="1" applyProtection="1">
      <alignment horizontal="right"/>
    </xf>
    <xf numFmtId="0" fontId="39" fillId="5" borderId="41" xfId="8" applyFont="1" applyFill="1" applyBorder="1" applyAlignment="1">
      <alignment horizontal="left" vertical="top" wrapText="1"/>
    </xf>
    <xf numFmtId="0" fontId="56" fillId="0" borderId="0" xfId="0" applyFont="1" applyAlignment="1" applyProtection="1">
      <alignment horizontal="right"/>
    </xf>
    <xf numFmtId="0" fontId="39" fillId="5" borderId="40" xfId="8" applyFont="1" applyFill="1" applyBorder="1"/>
    <xf numFmtId="14" fontId="39" fillId="3" borderId="24" xfId="7" applyNumberFormat="1" applyFont="1" applyBorder="1" applyAlignment="1" applyProtection="1">
      <alignment horizontal="left"/>
      <protection locked="0"/>
    </xf>
    <xf numFmtId="0" fontId="39" fillId="0" borderId="38" xfId="8" applyFont="1" applyBorder="1" applyAlignment="1">
      <alignment horizontal="left" vertical="top" wrapText="1"/>
    </xf>
    <xf numFmtId="9" fontId="39" fillId="0" borderId="0" xfId="8" applyNumberFormat="1" applyFont="1"/>
    <xf numFmtId="0" fontId="38" fillId="0" borderId="0" xfId="8" applyFont="1"/>
    <xf numFmtId="9" fontId="54" fillId="0" borderId="24" xfId="5" applyFont="1" applyFill="1" applyBorder="1" applyProtection="1"/>
    <xf numFmtId="9" fontId="57" fillId="0" borderId="0" xfId="5" applyNumberFormat="1" applyFont="1" applyProtection="1"/>
    <xf numFmtId="0" fontId="39" fillId="3" borderId="24" xfId="7" applyNumberFormat="1" applyFont="1" applyBorder="1" applyAlignment="1" applyProtection="1">
      <alignment horizontal="left"/>
      <protection locked="0"/>
    </xf>
    <xf numFmtId="0" fontId="39" fillId="3" borderId="11" xfId="7" applyNumberFormat="1" applyFont="1" applyAlignment="1" applyProtection="1">
      <alignment horizontal="left"/>
      <protection locked="0"/>
    </xf>
    <xf numFmtId="0" fontId="54" fillId="2" borderId="24" xfId="0" applyFont="1" applyFill="1" applyBorder="1" applyAlignment="1" applyProtection="1">
      <alignment horizontal="left"/>
      <protection locked="0"/>
    </xf>
    <xf numFmtId="0" fontId="58" fillId="0" borderId="0" xfId="8" applyFont="1" applyFill="1"/>
    <xf numFmtId="0" fontId="53" fillId="0" borderId="0" xfId="8" applyFont="1" applyFill="1"/>
    <xf numFmtId="0" fontId="36" fillId="0" borderId="0" xfId="8" applyFont="1"/>
    <xf numFmtId="0" fontId="62" fillId="10" borderId="0" xfId="0" applyFont="1" applyFill="1" applyProtection="1"/>
    <xf numFmtId="0" fontId="36" fillId="0" borderId="0" xfId="8" applyFont="1" applyBorder="1" applyAlignment="1">
      <alignment horizontal="right"/>
    </xf>
    <xf numFmtId="0" fontId="54" fillId="0" borderId="0" xfId="0" applyNumberFormat="1" applyFont="1" applyFill="1" applyAlignment="1" applyProtection="1">
      <alignment horizontal="left"/>
    </xf>
    <xf numFmtId="0" fontId="54" fillId="0" borderId="0" xfId="0" applyFont="1" applyFill="1" applyProtection="1"/>
    <xf numFmtId="14" fontId="54" fillId="0" borderId="0" xfId="0" applyNumberFormat="1" applyFont="1" applyFill="1" applyProtection="1"/>
    <xf numFmtId="0" fontId="36" fillId="0" borderId="43" xfId="8" applyFont="1" applyBorder="1"/>
    <xf numFmtId="0" fontId="36" fillId="0" borderId="0" xfId="8" applyFont="1" applyFill="1"/>
    <xf numFmtId="0" fontId="54" fillId="0" borderId="0" xfId="0" applyFont="1" applyAlignment="1" applyProtection="1">
      <alignment horizontal="right"/>
    </xf>
    <xf numFmtId="0" fontId="36" fillId="0" borderId="0" xfId="8" applyFont="1" applyFill="1" applyBorder="1"/>
    <xf numFmtId="0" fontId="36" fillId="0" borderId="0" xfId="8" applyFont="1" applyBorder="1"/>
    <xf numFmtId="0" fontId="36" fillId="0" borderId="0" xfId="8" applyFont="1" applyFill="1" applyAlignment="1">
      <alignment horizontal="left"/>
    </xf>
    <xf numFmtId="0" fontId="36" fillId="0" borderId="41" xfId="8" applyFont="1" applyBorder="1" applyAlignment="1">
      <alignment horizontal="right"/>
    </xf>
    <xf numFmtId="168" fontId="39" fillId="0" borderId="0" xfId="8" applyNumberFormat="1" applyFont="1"/>
    <xf numFmtId="9" fontId="39" fillId="0" borderId="0" xfId="5" applyFont="1"/>
    <xf numFmtId="49" fontId="35" fillId="3" borderId="24" xfId="7" applyNumberFormat="1" applyFont="1" applyBorder="1" applyAlignment="1" applyProtection="1">
      <alignment horizontal="left"/>
      <protection locked="0"/>
    </xf>
    <xf numFmtId="0" fontId="33" fillId="0" borderId="41" xfId="8" applyFont="1" applyBorder="1" applyAlignment="1">
      <alignment horizontal="right"/>
    </xf>
    <xf numFmtId="9" fontId="36" fillId="0" borderId="42" xfId="5" applyNumberFormat="1" applyFont="1" applyBorder="1"/>
    <xf numFmtId="9" fontId="34" fillId="0" borderId="42" xfId="6" applyNumberFormat="1" applyFont="1" applyBorder="1"/>
    <xf numFmtId="168" fontId="54" fillId="0" borderId="47" xfId="10" applyNumberFormat="1" applyFont="1" applyFill="1" applyBorder="1" applyAlignment="1" applyProtection="1">
      <alignment horizontal="center"/>
    </xf>
    <xf numFmtId="0" fontId="67" fillId="0" borderId="0" xfId="8" applyFont="1" applyFill="1"/>
    <xf numFmtId="0" fontId="33" fillId="7" borderId="22" xfId="8" applyFont="1" applyFill="1" applyBorder="1" applyAlignment="1">
      <alignment horizontal="left"/>
    </xf>
    <xf numFmtId="0" fontId="53" fillId="0" borderId="0" xfId="0" applyFont="1"/>
    <xf numFmtId="3" fontId="0" fillId="0" borderId="0" xfId="0" applyNumberFormat="1"/>
    <xf numFmtId="3" fontId="53" fillId="4" borderId="19" xfId="8" applyNumberFormat="1" applyFont="1" applyFill="1" applyBorder="1" applyAlignment="1">
      <alignment horizontal="left"/>
    </xf>
    <xf numFmtId="0" fontId="54" fillId="0" borderId="0" xfId="0" applyFont="1" applyAlignment="1" applyProtection="1"/>
    <xf numFmtId="0" fontId="56" fillId="0" borderId="0" xfId="0" applyFont="1" applyAlignment="1" applyProtection="1"/>
    <xf numFmtId="0" fontId="56" fillId="0" borderId="0" xfId="0" applyFont="1" applyFill="1" applyProtection="1"/>
    <xf numFmtId="0" fontId="54" fillId="0" borderId="0" xfId="0" applyFont="1" applyAlignment="1" applyProtection="1">
      <alignment horizontal="right" indent="1"/>
    </xf>
    <xf numFmtId="0" fontId="36" fillId="0" borderId="0" xfId="8" applyFont="1" applyBorder="1" applyAlignment="1">
      <alignment horizontal="right" indent="1"/>
    </xf>
    <xf numFmtId="168" fontId="57" fillId="0" borderId="0" xfId="1" applyNumberFormat="1" applyFont="1" applyProtection="1"/>
    <xf numFmtId="168" fontId="56" fillId="0" borderId="15" xfId="10" applyNumberFormat="1" applyFont="1" applyFill="1" applyBorder="1" applyAlignment="1" applyProtection="1">
      <alignment horizontal="center"/>
    </xf>
    <xf numFmtId="0" fontId="56" fillId="0" borderId="15" xfId="10" applyNumberFormat="1" applyFont="1" applyFill="1" applyBorder="1" applyAlignment="1" applyProtection="1">
      <alignment horizontal="center"/>
    </xf>
    <xf numFmtId="168" fontId="56" fillId="0" borderId="14" xfId="10" applyNumberFormat="1" applyFont="1" applyFill="1" applyBorder="1" applyAlignment="1" applyProtection="1">
      <alignment horizontal="center"/>
    </xf>
    <xf numFmtId="168" fontId="0" fillId="0" borderId="0" xfId="1" applyNumberFormat="1" applyFont="1"/>
    <xf numFmtId="0" fontId="43" fillId="0" borderId="8" xfId="0" applyFont="1" applyBorder="1" applyAlignment="1">
      <alignment horizontal="center"/>
    </xf>
    <xf numFmtId="0" fontId="41" fillId="0" borderId="0" xfId="0" applyFont="1"/>
    <xf numFmtId="171" fontId="0" fillId="0" borderId="0" xfId="1" applyNumberFormat="1" applyFont="1"/>
    <xf numFmtId="171" fontId="51" fillId="8" borderId="21" xfId="8" applyNumberFormat="1" applyFont="1" applyFill="1" applyBorder="1"/>
    <xf numFmtId="0" fontId="32" fillId="7" borderId="22" xfId="8" applyFont="1" applyFill="1" applyBorder="1" applyAlignment="1">
      <alignment horizontal="left"/>
    </xf>
    <xf numFmtId="0" fontId="32" fillId="0" borderId="46" xfId="8" applyFont="1" applyBorder="1"/>
    <xf numFmtId="0" fontId="32" fillId="0" borderId="43" xfId="8" applyFont="1" applyBorder="1"/>
    <xf numFmtId="0" fontId="32" fillId="0" borderId="0" xfId="8" applyFont="1"/>
    <xf numFmtId="168" fontId="54" fillId="0" borderId="17" xfId="10" applyNumberFormat="1" applyFont="1" applyFill="1" applyBorder="1" applyAlignment="1" applyProtection="1">
      <alignment horizontal="center"/>
    </xf>
    <xf numFmtId="0" fontId="31" fillId="0" borderId="0" xfId="8" applyFont="1" applyAlignment="1">
      <alignment horizontal="right"/>
    </xf>
    <xf numFmtId="0" fontId="57" fillId="0" borderId="0" xfId="0" applyFont="1" applyBorder="1" applyProtection="1"/>
    <xf numFmtId="14" fontId="37" fillId="3" borderId="2" xfId="7" applyNumberFormat="1" applyFont="1" applyBorder="1" applyAlignment="1" applyProtection="1">
      <protection locked="0"/>
    </xf>
    <xf numFmtId="0" fontId="0" fillId="0" borderId="0" xfId="0" applyAlignment="1">
      <alignment horizontal="right"/>
    </xf>
    <xf numFmtId="171" fontId="0" fillId="0" borderId="0" xfId="0" applyNumberFormat="1"/>
    <xf numFmtId="171" fontId="44" fillId="0" borderId="0" xfId="1" applyNumberFormat="1" applyFont="1"/>
    <xf numFmtId="170" fontId="30" fillId="3" borderId="24" xfId="7" applyNumberFormat="1" applyFont="1" applyBorder="1" applyAlignment="1" applyProtection="1">
      <alignment horizontal="left"/>
      <protection locked="0"/>
    </xf>
    <xf numFmtId="0" fontId="39" fillId="0" borderId="37" xfId="8" applyFont="1" applyBorder="1" applyAlignment="1">
      <alignment horizontal="left" vertical="top"/>
    </xf>
    <xf numFmtId="168" fontId="54" fillId="0" borderId="16" xfId="10" applyNumberFormat="1" applyFont="1" applyFill="1" applyBorder="1" applyAlignment="1" applyProtection="1">
      <protection locked="0"/>
    </xf>
    <xf numFmtId="0" fontId="42" fillId="0" borderId="0" xfId="0" applyFont="1"/>
    <xf numFmtId="2" fontId="39" fillId="3" borderId="11" xfId="7" applyNumberFormat="1" applyFont="1" applyProtection="1">
      <protection locked="0"/>
    </xf>
    <xf numFmtId="165" fontId="51" fillId="8" borderId="21" xfId="8" applyNumberFormat="1" applyFont="1" applyFill="1" applyBorder="1"/>
    <xf numFmtId="165" fontId="51" fillId="8" borderId="30" xfId="1" applyNumberFormat="1" applyFont="1" applyFill="1" applyBorder="1"/>
    <xf numFmtId="165" fontId="54" fillId="0" borderId="16" xfId="1" applyNumberFormat="1" applyFont="1" applyFill="1" applyBorder="1" applyAlignment="1" applyProtection="1">
      <alignment horizontal="center"/>
    </xf>
    <xf numFmtId="165" fontId="54" fillId="0" borderId="29" xfId="1" applyNumberFormat="1" applyFont="1" applyFill="1" applyBorder="1" applyAlignment="1" applyProtection="1">
      <alignment horizontal="center"/>
    </xf>
    <xf numFmtId="168" fontId="68" fillId="0" borderId="0" xfId="1" applyNumberFormat="1" applyFont="1" applyFill="1" applyBorder="1" applyAlignment="1" applyProtection="1">
      <alignment horizontal="right"/>
    </xf>
    <xf numFmtId="0" fontId="68" fillId="0" borderId="0" xfId="1" applyNumberFormat="1" applyFont="1" applyFill="1" applyBorder="1" applyAlignment="1" applyProtection="1"/>
    <xf numFmtId="10" fontId="42" fillId="0" borderId="0" xfId="7" applyNumberFormat="1" applyFont="1" applyFill="1" applyBorder="1" applyAlignment="1" applyProtection="1">
      <alignment horizontal="right"/>
    </xf>
    <xf numFmtId="0" fontId="68" fillId="0" borderId="0" xfId="1" applyNumberFormat="1" applyFont="1" applyFill="1" applyBorder="1" applyAlignment="1" applyProtection="1">
      <alignment horizontal="right"/>
    </xf>
    <xf numFmtId="166" fontId="42" fillId="0" borderId="0" xfId="0" applyNumberFormat="1" applyFont="1" applyAlignment="1" applyProtection="1">
      <alignment horizontal="right"/>
    </xf>
    <xf numFmtId="3" fontId="61" fillId="0" borderId="0" xfId="0" applyNumberFormat="1" applyFont="1" applyProtection="1"/>
    <xf numFmtId="3" fontId="57" fillId="0" borderId="0" xfId="0" applyNumberFormat="1" applyFont="1" applyBorder="1" applyProtection="1"/>
    <xf numFmtId="169" fontId="42" fillId="0" borderId="0" xfId="2" applyNumberFormat="1" applyFont="1" applyFill="1" applyBorder="1" applyProtection="1"/>
    <xf numFmtId="0" fontId="28" fillId="0" borderId="0" xfId="8" applyFont="1"/>
    <xf numFmtId="173" fontId="54" fillId="0" borderId="24" xfId="5" applyNumberFormat="1" applyFont="1" applyFill="1" applyBorder="1" applyProtection="1"/>
    <xf numFmtId="0" fontId="27" fillId="0" borderId="0" xfId="8" applyFont="1"/>
    <xf numFmtId="9" fontId="57" fillId="0" borderId="0" xfId="5" applyFont="1" applyProtection="1"/>
    <xf numFmtId="168" fontId="0" fillId="0" borderId="0" xfId="0" applyNumberFormat="1"/>
    <xf numFmtId="0" fontId="39" fillId="5" borderId="42" xfId="8" applyFont="1" applyFill="1" applyBorder="1" applyAlignment="1">
      <alignment horizontal="left" vertical="top" wrapText="1"/>
    </xf>
    <xf numFmtId="0" fontId="39" fillId="0" borderId="0" xfId="8" applyFont="1" applyBorder="1" applyAlignment="1">
      <alignment horizontal="left" vertical="top" wrapText="1"/>
    </xf>
    <xf numFmtId="0" fontId="39" fillId="0" borderId="38" xfId="8" applyFont="1" applyBorder="1" applyAlignment="1">
      <alignment horizontal="left" vertical="top" wrapText="1"/>
    </xf>
    <xf numFmtId="0" fontId="39" fillId="0" borderId="39" xfId="8" applyFont="1" applyBorder="1" applyAlignment="1">
      <alignment horizontal="left" vertical="top" wrapText="1"/>
    </xf>
    <xf numFmtId="0" fontId="26" fillId="7" borderId="22" xfId="8" applyFont="1" applyFill="1" applyBorder="1" applyAlignment="1">
      <alignment horizontal="left"/>
    </xf>
    <xf numFmtId="168" fontId="51" fillId="8" borderId="21" xfId="1" applyNumberFormat="1" applyFont="1" applyFill="1" applyBorder="1"/>
    <xf numFmtId="1" fontId="54" fillId="0" borderId="0" xfId="5" applyNumberFormat="1" applyFont="1" applyAlignment="1">
      <alignment horizontal="center"/>
    </xf>
    <xf numFmtId="0" fontId="56" fillId="0" borderId="0" xfId="0" applyFont="1"/>
    <xf numFmtId="0" fontId="54" fillId="0" borderId="0" xfId="0" applyFont="1"/>
    <xf numFmtId="0" fontId="56" fillId="0" borderId="8" xfId="0" applyFont="1" applyBorder="1" applyAlignment="1">
      <alignment horizontal="left"/>
    </xf>
    <xf numFmtId="0" fontId="56" fillId="0" borderId="8" xfId="0" applyFont="1" applyBorder="1" applyAlignment="1">
      <alignment horizontal="center"/>
    </xf>
    <xf numFmtId="168" fontId="54" fillId="0" borderId="0" xfId="1" applyNumberFormat="1" applyFont="1"/>
    <xf numFmtId="0" fontId="69" fillId="0" borderId="0" xfId="0" applyFont="1"/>
    <xf numFmtId="168" fontId="69" fillId="0" borderId="0" xfId="1" applyNumberFormat="1" applyFont="1"/>
    <xf numFmtId="0" fontId="70" fillId="0" borderId="0" xfId="8" applyFont="1"/>
    <xf numFmtId="170" fontId="24" fillId="3" borderId="11" xfId="7" applyNumberFormat="1" applyFont="1" applyProtection="1">
      <protection locked="0"/>
    </xf>
    <xf numFmtId="0" fontId="56" fillId="0" borderId="0" xfId="0" applyFont="1" applyBorder="1" applyAlignment="1">
      <alignment horizontal="left"/>
    </xf>
    <xf numFmtId="170" fontId="23" fillId="3" borderId="24" xfId="7" applyNumberFormat="1" applyFont="1" applyBorder="1" applyAlignment="1" applyProtection="1">
      <alignment horizontal="left" wrapText="1"/>
      <protection locked="0"/>
    </xf>
    <xf numFmtId="168" fontId="57" fillId="0" borderId="0" xfId="5" applyNumberFormat="1" applyFont="1" applyProtection="1"/>
    <xf numFmtId="170" fontId="52" fillId="14" borderId="11" xfId="7" applyNumberFormat="1" applyFont="1" applyFill="1" applyProtection="1">
      <protection locked="0"/>
    </xf>
    <xf numFmtId="168" fontId="52" fillId="14" borderId="11" xfId="1" applyNumberFormat="1" applyFont="1" applyFill="1" applyBorder="1" applyProtection="1">
      <protection locked="0"/>
    </xf>
    <xf numFmtId="168" fontId="54" fillId="0" borderId="16" xfId="10" applyNumberFormat="1" applyFont="1" applyFill="1" applyBorder="1" applyAlignment="1" applyProtection="1">
      <alignment horizontal="center"/>
      <protection locked="0"/>
    </xf>
    <xf numFmtId="168" fontId="39" fillId="14" borderId="11" xfId="1" applyNumberFormat="1" applyFont="1" applyFill="1" applyBorder="1" applyProtection="1">
      <protection locked="0"/>
    </xf>
    <xf numFmtId="0" fontId="22" fillId="7" borderId="22" xfId="8" applyFont="1" applyFill="1" applyBorder="1" applyAlignment="1">
      <alignment horizontal="left"/>
    </xf>
    <xf numFmtId="9" fontId="54" fillId="0" borderId="24" xfId="5" applyNumberFormat="1" applyFont="1" applyFill="1" applyBorder="1" applyProtection="1"/>
    <xf numFmtId="165" fontId="54" fillId="0" borderId="0" xfId="0" applyNumberFormat="1" applyFont="1"/>
    <xf numFmtId="168" fontId="56" fillId="0" borderId="15" xfId="10" applyNumberFormat="1" applyFont="1" applyFill="1" applyBorder="1" applyAlignment="1" applyProtection="1">
      <alignment horizontal="left"/>
    </xf>
    <xf numFmtId="168" fontId="56" fillId="5" borderId="16" xfId="10" applyNumberFormat="1" applyFont="1" applyFill="1" applyBorder="1" applyAlignment="1" applyProtection="1"/>
    <xf numFmtId="0" fontId="21" fillId="0" borderId="0" xfId="8" applyFont="1"/>
    <xf numFmtId="0" fontId="20" fillId="0" borderId="0" xfId="8" applyFont="1"/>
    <xf numFmtId="168" fontId="54" fillId="0" borderId="47" xfId="10" applyNumberFormat="1" applyFont="1" applyFill="1" applyBorder="1" applyAlignment="1" applyProtection="1">
      <alignment horizontal="left"/>
    </xf>
    <xf numFmtId="168" fontId="54" fillId="0" borderId="16" xfId="10" applyNumberFormat="1" applyFont="1" applyFill="1" applyBorder="1" applyAlignment="1" applyProtection="1">
      <alignment horizontal="left"/>
    </xf>
    <xf numFmtId="0" fontId="73" fillId="0" borderId="0" xfId="0" applyFont="1" applyProtection="1"/>
    <xf numFmtId="3" fontId="57" fillId="14" borderId="0" xfId="0" applyNumberFormat="1" applyFont="1" applyFill="1" applyProtection="1"/>
    <xf numFmtId="0" fontId="57" fillId="0" borderId="5" xfId="0" applyFont="1" applyBorder="1" applyProtection="1"/>
    <xf numFmtId="3" fontId="57" fillId="0" borderId="3" xfId="0" applyNumberFormat="1" applyFont="1" applyBorder="1" applyProtection="1"/>
    <xf numFmtId="0" fontId="57" fillId="0" borderId="6" xfId="0" applyFont="1" applyBorder="1" applyProtection="1"/>
    <xf numFmtId="3" fontId="57" fillId="0" borderId="7" xfId="0" applyNumberFormat="1" applyFont="1" applyBorder="1" applyProtection="1"/>
    <xf numFmtId="0" fontId="57" fillId="0" borderId="9" xfId="0" applyFont="1" applyBorder="1" applyProtection="1"/>
    <xf numFmtId="168" fontId="57" fillId="0" borderId="8" xfId="0" applyNumberFormat="1" applyFont="1" applyBorder="1" applyProtection="1"/>
    <xf numFmtId="3" fontId="57" fillId="0" borderId="10" xfId="0" applyNumberFormat="1" applyFont="1" applyBorder="1" applyProtection="1"/>
    <xf numFmtId="165" fontId="54" fillId="0" borderId="51" xfId="5" applyNumberFormat="1" applyFont="1" applyFill="1" applyBorder="1" applyProtection="1"/>
    <xf numFmtId="168" fontId="54" fillId="0" borderId="52" xfId="10" applyNumberFormat="1" applyFont="1" applyFill="1" applyBorder="1" applyAlignment="1" applyProtection="1">
      <protection locked="0"/>
    </xf>
    <xf numFmtId="165" fontId="57" fillId="0" borderId="0" xfId="0" applyNumberFormat="1" applyFont="1" applyBorder="1" applyProtection="1"/>
    <xf numFmtId="0" fontId="57" fillId="0" borderId="8" xfId="0" applyFont="1" applyBorder="1" applyProtection="1"/>
    <xf numFmtId="0" fontId="54" fillId="0" borderId="0" xfId="0" applyFont="1" applyProtection="1"/>
    <xf numFmtId="170" fontId="39" fillId="14" borderId="11" xfId="7" applyNumberFormat="1" applyFont="1" applyFill="1" applyProtection="1">
      <protection locked="0"/>
    </xf>
    <xf numFmtId="1" fontId="39" fillId="14" borderId="11" xfId="7" applyNumberFormat="1" applyFont="1" applyFill="1" applyProtection="1">
      <protection locked="0"/>
    </xf>
    <xf numFmtId="0" fontId="19" fillId="0" borderId="43" xfId="8" applyFont="1" applyBorder="1"/>
    <xf numFmtId="0" fontId="74" fillId="0" borderId="5" xfId="8" applyFont="1" applyBorder="1"/>
    <xf numFmtId="0" fontId="57" fillId="0" borderId="3" xfId="0" applyFont="1" applyBorder="1" applyProtection="1"/>
    <xf numFmtId="0" fontId="31" fillId="0" borderId="3" xfId="8" applyFont="1" applyBorder="1" applyAlignment="1">
      <alignment horizontal="right"/>
    </xf>
    <xf numFmtId="168" fontId="51" fillId="8" borderId="53" xfId="8" applyNumberFormat="1" applyFont="1" applyFill="1" applyBorder="1"/>
    <xf numFmtId="0" fontId="73" fillId="0" borderId="6" xfId="0" applyFont="1" applyBorder="1" applyProtection="1"/>
    <xf numFmtId="168" fontId="19" fillId="3" borderId="54" xfId="1" applyNumberFormat="1" applyFont="1" applyFill="1" applyBorder="1" applyProtection="1">
      <protection locked="0"/>
    </xf>
    <xf numFmtId="0" fontId="74" fillId="0" borderId="9" xfId="8" applyFont="1" applyBorder="1"/>
    <xf numFmtId="0" fontId="57" fillId="0" borderId="8" xfId="0" applyFont="1" applyBorder="1" applyAlignment="1" applyProtection="1">
      <alignment horizontal="right"/>
    </xf>
    <xf numFmtId="168" fontId="51" fillId="8" borderId="55" xfId="8" applyNumberFormat="1" applyFont="1" applyFill="1" applyBorder="1"/>
    <xf numFmtId="0" fontId="0" fillId="0" borderId="0" xfId="0" applyAlignment="1">
      <alignment vertical="top"/>
    </xf>
    <xf numFmtId="1" fontId="0" fillId="0" borderId="0" xfId="0" applyNumberFormat="1"/>
    <xf numFmtId="0" fontId="18" fillId="0" borderId="43" xfId="8" applyFont="1" applyBorder="1"/>
    <xf numFmtId="0" fontId="49" fillId="0" borderId="0" xfId="3" applyAlignment="1" applyProtection="1"/>
    <xf numFmtId="0" fontId="54" fillId="2" borderId="24" xfId="0" applyFont="1" applyFill="1" applyBorder="1" applyAlignment="1" applyProtection="1">
      <alignment horizontal="center"/>
      <protection locked="0"/>
    </xf>
    <xf numFmtId="0" fontId="77" fillId="0" borderId="0" xfId="8" applyFont="1"/>
    <xf numFmtId="165" fontId="25" fillId="3" borderId="11" xfId="1" applyFont="1" applyFill="1" applyBorder="1" applyProtection="1"/>
    <xf numFmtId="168" fontId="79" fillId="0" borderId="56" xfId="0" applyNumberFormat="1" applyFont="1" applyBorder="1" applyAlignment="1">
      <alignment horizontal="right"/>
    </xf>
    <xf numFmtId="3" fontId="79" fillId="0" borderId="57" xfId="0" applyNumberFormat="1" applyFont="1" applyBorder="1" applyAlignment="1">
      <alignment horizontal="right"/>
    </xf>
    <xf numFmtId="3" fontId="79" fillId="0" borderId="73" xfId="0" applyNumberFormat="1" applyFont="1" applyBorder="1" applyAlignment="1">
      <alignment horizontal="right"/>
    </xf>
    <xf numFmtId="3" fontId="79" fillId="0" borderId="68" xfId="0" applyNumberFormat="1" applyFont="1" applyBorder="1" applyAlignment="1">
      <alignment horizontal="right"/>
    </xf>
    <xf numFmtId="3" fontId="79" fillId="0" borderId="70" xfId="0" applyNumberFormat="1" applyFont="1" applyBorder="1" applyAlignment="1">
      <alignment horizontal="right"/>
    </xf>
    <xf numFmtId="3" fontId="79" fillId="16" borderId="68" xfId="0" applyNumberFormat="1" applyFont="1" applyFill="1" applyBorder="1" applyAlignment="1">
      <alignment horizontal="right"/>
    </xf>
    <xf numFmtId="3" fontId="79" fillId="16" borderId="70" xfId="0" applyNumberFormat="1" applyFont="1" applyFill="1" applyBorder="1" applyAlignment="1">
      <alignment horizontal="right"/>
    </xf>
    <xf numFmtId="3" fontId="79" fillId="16" borderId="71" xfId="0" applyNumberFormat="1" applyFont="1" applyFill="1" applyBorder="1" applyAlignment="1">
      <alignment horizontal="right"/>
    </xf>
    <xf numFmtId="3" fontId="79" fillId="16" borderId="74" xfId="0" applyNumberFormat="1" applyFont="1" applyFill="1" applyBorder="1" applyAlignment="1">
      <alignment horizontal="right"/>
    </xf>
    <xf numFmtId="165" fontId="25" fillId="14" borderId="11" xfId="1" applyFont="1" applyFill="1" applyBorder="1" applyProtection="1"/>
    <xf numFmtId="0" fontId="78" fillId="0" borderId="75" xfId="0" applyFont="1" applyBorder="1" applyAlignment="1">
      <alignment horizontal="center"/>
    </xf>
    <xf numFmtId="168" fontId="79" fillId="0" borderId="84" xfId="0" applyNumberFormat="1" applyFont="1" applyBorder="1"/>
    <xf numFmtId="168" fontId="79" fillId="0" borderId="84" xfId="0" applyNumberFormat="1" applyFont="1" applyBorder="1" applyAlignment="1">
      <alignment horizontal="right"/>
    </xf>
    <xf numFmtId="3" fontId="79" fillId="0" borderId="84" xfId="0" applyNumberFormat="1" applyFont="1" applyBorder="1" applyAlignment="1">
      <alignment horizontal="right"/>
    </xf>
    <xf numFmtId="3" fontId="57" fillId="0" borderId="1" xfId="4" applyNumberFormat="1" applyFont="1" applyFill="1" applyBorder="1" applyProtection="1">
      <protection locked="0"/>
    </xf>
    <xf numFmtId="168" fontId="54" fillId="0" borderId="0" xfId="0" applyNumberFormat="1" applyFont="1"/>
    <xf numFmtId="3" fontId="54" fillId="10" borderId="13" xfId="9" applyNumberFormat="1" applyFont="1" applyFill="1" applyBorder="1" applyAlignment="1" applyProtection="1">
      <alignment horizontal="right"/>
    </xf>
    <xf numFmtId="174" fontId="56" fillId="0" borderId="8" xfId="5" applyNumberFormat="1" applyFont="1" applyBorder="1" applyAlignment="1">
      <alignment horizontal="center"/>
    </xf>
    <xf numFmtId="1" fontId="54" fillId="0" borderId="0" xfId="0" applyNumberFormat="1" applyFont="1"/>
    <xf numFmtId="174" fontId="54" fillId="0" borderId="0" xfId="0" applyNumberFormat="1" applyFont="1"/>
    <xf numFmtId="3" fontId="57" fillId="17" borderId="0" xfId="0" applyNumberFormat="1" applyFont="1" applyFill="1" applyBorder="1" applyProtection="1"/>
    <xf numFmtId="3" fontId="57" fillId="17" borderId="3" xfId="0" applyNumberFormat="1" applyFont="1" applyFill="1" applyBorder="1" applyProtection="1"/>
    <xf numFmtId="168" fontId="54" fillId="0" borderId="0" xfId="5" applyNumberFormat="1" applyFont="1" applyFill="1" applyBorder="1" applyProtection="1"/>
    <xf numFmtId="168" fontId="57" fillId="14" borderId="0" xfId="0" applyNumberFormat="1" applyFont="1" applyFill="1" applyProtection="1"/>
    <xf numFmtId="9" fontId="54" fillId="0" borderId="31" xfId="5" applyFont="1" applyFill="1" applyBorder="1" applyAlignment="1" applyProtection="1">
      <alignment horizontal="center"/>
    </xf>
    <xf numFmtId="3" fontId="54" fillId="17" borderId="13" xfId="9" applyNumberFormat="1" applyFont="1" applyFill="1" applyBorder="1" applyAlignment="1" applyProtection="1">
      <alignment horizontal="right"/>
    </xf>
    <xf numFmtId="168" fontId="29" fillId="14" borderId="0" xfId="1" applyNumberFormat="1" applyFont="1" applyFill="1" applyBorder="1" applyProtection="1">
      <protection locked="0"/>
    </xf>
    <xf numFmtId="168" fontId="56" fillId="14" borderId="0" xfId="10" applyNumberFormat="1" applyFont="1" applyFill="1" applyBorder="1" applyAlignment="1" applyProtection="1">
      <alignment horizontal="center"/>
    </xf>
    <xf numFmtId="0" fontId="17" fillId="0" borderId="0" xfId="8" applyFont="1" applyBorder="1"/>
    <xf numFmtId="0" fontId="86" fillId="0" borderId="0" xfId="0" applyFont="1"/>
    <xf numFmtId="3" fontId="79" fillId="14" borderId="68" xfId="0" applyNumberFormat="1" applyFont="1" applyFill="1" applyBorder="1" applyAlignment="1">
      <alignment horizontal="right"/>
    </xf>
    <xf numFmtId="168" fontId="79" fillId="14" borderId="56" xfId="0" applyNumberFormat="1" applyFont="1" applyFill="1" applyBorder="1" applyAlignment="1">
      <alignment horizontal="right"/>
    </xf>
    <xf numFmtId="9" fontId="52" fillId="0" borderId="0" xfId="5" applyFont="1"/>
    <xf numFmtId="0" fontId="66" fillId="0" borderId="0" xfId="11"/>
    <xf numFmtId="3" fontId="79" fillId="14" borderId="56" xfId="0" applyNumberFormat="1" applyFont="1" applyFill="1" applyBorder="1"/>
    <xf numFmtId="3" fontId="79" fillId="14" borderId="88" xfId="0" applyNumberFormat="1" applyFont="1" applyFill="1" applyBorder="1" applyAlignment="1">
      <alignment horizontal="right"/>
    </xf>
    <xf numFmtId="3" fontId="79" fillId="14" borderId="70" xfId="0" applyNumberFormat="1" applyFont="1" applyFill="1" applyBorder="1" applyAlignment="1">
      <alignment horizontal="right"/>
    </xf>
    <xf numFmtId="0" fontId="16" fillId="0" borderId="0" xfId="8" applyFont="1"/>
    <xf numFmtId="3" fontId="79" fillId="0" borderId="56" xfId="0" applyNumberFormat="1" applyFont="1" applyBorder="1" applyAlignment="1">
      <alignment horizontal="right"/>
    </xf>
    <xf numFmtId="0" fontId="44" fillId="0" borderId="0" xfId="0" applyFont="1" applyFill="1"/>
    <xf numFmtId="0" fontId="0" fillId="0" borderId="0" xfId="0" applyFill="1"/>
    <xf numFmtId="168" fontId="79" fillId="0" borderId="84" xfId="0" applyNumberFormat="1" applyFont="1" applyFill="1" applyBorder="1" applyAlignment="1">
      <alignment horizontal="right"/>
    </xf>
    <xf numFmtId="168" fontId="79" fillId="0" borderId="69" xfId="0" applyNumberFormat="1" applyFont="1" applyFill="1" applyBorder="1" applyAlignment="1">
      <alignment horizontal="right"/>
    </xf>
    <xf numFmtId="168" fontId="16" fillId="0" borderId="0" xfId="8" applyNumberFormat="1" applyFont="1"/>
    <xf numFmtId="0" fontId="83" fillId="0" borderId="0" xfId="0" applyFont="1" applyAlignment="1">
      <alignment horizontal="left" vertical="center" wrapText="1"/>
    </xf>
    <xf numFmtId="0" fontId="83" fillId="0" borderId="0" xfId="0" applyFont="1" applyFill="1" applyAlignment="1">
      <alignment horizontal="left" vertical="center" wrapText="1"/>
    </xf>
    <xf numFmtId="168" fontId="56" fillId="9" borderId="0" xfId="9" applyNumberFormat="1" applyFont="1" applyFill="1" applyBorder="1"/>
    <xf numFmtId="0" fontId="88" fillId="14" borderId="0" xfId="8" applyFont="1" applyFill="1"/>
    <xf numFmtId="0" fontId="39" fillId="14" borderId="40" xfId="8" applyFont="1" applyFill="1" applyBorder="1"/>
    <xf numFmtId="0" fontId="36" fillId="14" borderId="41" xfId="8" applyFont="1" applyFill="1" applyBorder="1" applyAlignment="1">
      <alignment horizontal="right"/>
    </xf>
    <xf numFmtId="0" fontId="33" fillId="14" borderId="41" xfId="8" applyFont="1" applyFill="1" applyBorder="1" applyAlignment="1">
      <alignment horizontal="right"/>
    </xf>
    <xf numFmtId="9" fontId="36" fillId="14" borderId="42" xfId="5" applyNumberFormat="1" applyFont="1" applyFill="1" applyBorder="1"/>
    <xf numFmtId="9" fontId="34" fillId="14" borderId="42" xfId="6" applyNumberFormat="1" applyFont="1" applyFill="1" applyBorder="1"/>
    <xf numFmtId="168" fontId="54" fillId="14" borderId="16" xfId="10" applyNumberFormat="1" applyFont="1" applyFill="1" applyBorder="1" applyAlignment="1" applyProtection="1">
      <protection locked="0"/>
    </xf>
    <xf numFmtId="0" fontId="44" fillId="0" borderId="0" xfId="0" applyFont="1" applyProtection="1"/>
    <xf numFmtId="0" fontId="39" fillId="14" borderId="1" xfId="8" applyFont="1" applyFill="1" applyBorder="1" applyAlignment="1">
      <alignment horizontal="center" vertical="top" wrapText="1"/>
    </xf>
    <xf numFmtId="0" fontId="36" fillId="0" borderId="0" xfId="8" applyFont="1" applyBorder="1" applyAlignment="1">
      <alignment vertical="top"/>
    </xf>
    <xf numFmtId="0" fontId="54" fillId="0" borderId="0" xfId="0" applyFont="1" applyFill="1"/>
    <xf numFmtId="3" fontId="79" fillId="0" borderId="84" xfId="0" applyNumberFormat="1" applyFont="1" applyFill="1" applyBorder="1" applyAlignment="1">
      <alignment horizontal="right"/>
    </xf>
    <xf numFmtId="0" fontId="0" fillId="0" borderId="89" xfId="0" applyBorder="1"/>
    <xf numFmtId="0" fontId="78" fillId="0" borderId="0" xfId="0" applyFont="1" applyBorder="1" applyAlignment="1">
      <alignment horizontal="center"/>
    </xf>
    <xf numFmtId="3" fontId="79" fillId="0" borderId="0" xfId="0" applyNumberFormat="1" applyFont="1" applyBorder="1"/>
    <xf numFmtId="3" fontId="79" fillId="0" borderId="0" xfId="0" applyNumberFormat="1" applyFont="1" applyFill="1" applyBorder="1" applyAlignment="1">
      <alignment horizontal="right"/>
    </xf>
    <xf numFmtId="3" fontId="79" fillId="0" borderId="0" xfId="0" applyNumberFormat="1" applyFont="1" applyFill="1" applyBorder="1"/>
    <xf numFmtId="0" fontId="56" fillId="0" borderId="57" xfId="0" applyFont="1" applyBorder="1"/>
    <xf numFmtId="0" fontId="0" fillId="0" borderId="67" xfId="0" applyBorder="1"/>
    <xf numFmtId="0" fontId="0" fillId="0" borderId="58" xfId="0" applyBorder="1"/>
    <xf numFmtId="0" fontId="0" fillId="0" borderId="0" xfId="0" applyFill="1" applyBorder="1"/>
    <xf numFmtId="0" fontId="44" fillId="0" borderId="0" xfId="0" applyFont="1" applyFill="1" applyBorder="1"/>
    <xf numFmtId="0" fontId="87" fillId="0" borderId="0" xfId="0" applyFont="1" applyFill="1" applyBorder="1"/>
    <xf numFmtId="0" fontId="66" fillId="0" borderId="59" xfId="11" applyBorder="1"/>
    <xf numFmtId="0" fontId="0" fillId="0" borderId="65" xfId="0" applyBorder="1"/>
    <xf numFmtId="0" fontId="0" fillId="0" borderId="60" xfId="0" applyBorder="1"/>
    <xf numFmtId="0" fontId="66" fillId="0" borderId="61" xfId="11" applyBorder="1"/>
    <xf numFmtId="0" fontId="0" fillId="0" borderId="62" xfId="0" applyBorder="1"/>
    <xf numFmtId="0" fontId="66" fillId="0" borderId="63" xfId="11" applyBorder="1"/>
    <xf numFmtId="0" fontId="0" fillId="0" borderId="66" xfId="0" applyBorder="1"/>
    <xf numFmtId="0" fontId="0" fillId="0" borderId="64" xfId="0" applyBorder="1"/>
    <xf numFmtId="0" fontId="66" fillId="0" borderId="90" xfId="11" applyBorder="1"/>
    <xf numFmtId="0" fontId="0" fillId="0" borderId="91" xfId="0" applyBorder="1"/>
    <xf numFmtId="0" fontId="89" fillId="0" borderId="63" xfId="11" applyFont="1" applyBorder="1"/>
    <xf numFmtId="0" fontId="66" fillId="0" borderId="66" xfId="11" applyBorder="1"/>
    <xf numFmtId="0" fontId="66" fillId="0" borderId="92" xfId="11" applyBorder="1"/>
    <xf numFmtId="0" fontId="66" fillId="0" borderId="93" xfId="11" applyBorder="1"/>
    <xf numFmtId="0" fontId="0" fillId="0" borderId="93" xfId="0" applyBorder="1"/>
    <xf numFmtId="0" fontId="0" fillId="0" borderId="94" xfId="0" applyBorder="1"/>
    <xf numFmtId="168" fontId="54" fillId="0" borderId="0" xfId="1" applyNumberFormat="1" applyFont="1" applyFill="1"/>
    <xf numFmtId="168" fontId="69" fillId="0" borderId="0" xfId="1" applyNumberFormat="1" applyFont="1" applyFill="1"/>
    <xf numFmtId="0" fontId="56" fillId="0" borderId="8" xfId="0" applyFont="1" applyFill="1" applyBorder="1" applyAlignment="1">
      <alignment horizontal="center"/>
    </xf>
    <xf numFmtId="0" fontId="0" fillId="0" borderId="0" xfId="0" applyAlignment="1">
      <alignment wrapText="1"/>
    </xf>
    <xf numFmtId="0" fontId="54" fillId="14" borderId="0" xfId="0" applyFont="1" applyFill="1"/>
    <xf numFmtId="3" fontId="57" fillId="14" borderId="1" xfId="4" applyNumberFormat="1" applyFont="1" applyFill="1" applyBorder="1" applyProtection="1"/>
    <xf numFmtId="0" fontId="0" fillId="14" borderId="0" xfId="0" applyFill="1"/>
    <xf numFmtId="0" fontId="0" fillId="14" borderId="1" xfId="0" applyFill="1" applyBorder="1" applyAlignment="1">
      <alignment vertical="top" wrapText="1"/>
    </xf>
    <xf numFmtId="0" fontId="44" fillId="14" borderId="1" xfId="0" applyFont="1" applyFill="1" applyBorder="1" applyAlignment="1">
      <alignment vertical="top" wrapText="1"/>
    </xf>
    <xf numFmtId="3" fontId="54" fillId="14" borderId="13" xfId="9" applyNumberFormat="1" applyFont="1" applyFill="1" applyBorder="1" applyAlignment="1" applyProtection="1">
      <alignment horizontal="right"/>
    </xf>
    <xf numFmtId="0" fontId="57" fillId="14" borderId="24" xfId="0" applyFont="1" applyFill="1" applyBorder="1" applyAlignment="1" applyProtection="1">
      <alignment horizontal="center"/>
    </xf>
    <xf numFmtId="2" fontId="61" fillId="0" borderId="0" xfId="0" applyNumberFormat="1" applyFont="1" applyAlignment="1" applyProtection="1">
      <alignment horizontal="center"/>
    </xf>
    <xf numFmtId="0" fontId="14" fillId="0" borderId="43" xfId="8" applyFont="1" applyBorder="1" applyAlignment="1">
      <alignment wrapText="1"/>
    </xf>
    <xf numFmtId="14" fontId="39" fillId="14" borderId="24" xfId="7" applyNumberFormat="1" applyFont="1" applyFill="1" applyBorder="1" applyAlignment="1" applyProtection="1">
      <alignment horizontal="left"/>
      <protection locked="0"/>
    </xf>
    <xf numFmtId="14" fontId="39" fillId="3" borderId="11" xfId="7" applyNumberFormat="1" applyFont="1" applyAlignment="1" applyProtection="1">
      <alignment horizontal="center"/>
      <protection locked="0"/>
    </xf>
    <xf numFmtId="0" fontId="54" fillId="14" borderId="24" xfId="0" applyFont="1" applyFill="1" applyBorder="1" applyAlignment="1" applyProtection="1">
      <alignment horizontal="center"/>
    </xf>
    <xf numFmtId="170" fontId="18" fillId="14" borderId="24" xfId="7" applyNumberFormat="1" applyFont="1" applyFill="1" applyBorder="1" applyAlignment="1" applyProtection="1">
      <alignment horizontal="center"/>
    </xf>
    <xf numFmtId="0" fontId="11" fillId="0" borderId="0" xfId="8" applyFont="1" applyAlignment="1">
      <alignment horizontal="right"/>
    </xf>
    <xf numFmtId="0" fontId="92" fillId="0" borderId="0" xfId="4" applyFont="1"/>
    <xf numFmtId="0" fontId="44" fillId="0" borderId="0" xfId="4"/>
    <xf numFmtId="0" fontId="43" fillId="12" borderId="1" xfId="4" applyFont="1" applyFill="1" applyBorder="1"/>
    <xf numFmtId="0" fontId="43" fillId="12" borderId="1" xfId="4" applyFont="1" applyFill="1" applyBorder="1" applyAlignment="1">
      <alignment horizontal="center"/>
    </xf>
    <xf numFmtId="14" fontId="44" fillId="0" borderId="48" xfId="4" applyNumberFormat="1" applyBorder="1" applyAlignment="1">
      <alignment vertical="center"/>
    </xf>
    <xf numFmtId="0" fontId="44" fillId="0" borderId="1" xfId="4" applyFont="1" applyBorder="1" applyAlignment="1">
      <alignment wrapText="1"/>
    </xf>
    <xf numFmtId="0" fontId="44" fillId="0" borderId="1" xfId="4" applyFont="1" applyBorder="1" applyAlignment="1">
      <alignment vertical="center"/>
    </xf>
    <xf numFmtId="0" fontId="44" fillId="0" borderId="1" xfId="4" applyBorder="1" applyAlignment="1">
      <alignment wrapText="1"/>
    </xf>
    <xf numFmtId="0" fontId="44" fillId="0" borderId="1" xfId="4" applyBorder="1"/>
    <xf numFmtId="170" fontId="39" fillId="3" borderId="11" xfId="7" applyNumberFormat="1" applyFont="1" applyAlignment="1" applyProtection="1">
      <alignment wrapText="1"/>
      <protection locked="0"/>
    </xf>
    <xf numFmtId="170" fontId="10" fillId="3" borderId="11" xfId="7" applyNumberFormat="1" applyFont="1" applyAlignment="1" applyProtection="1">
      <alignment wrapText="1"/>
      <protection locked="0"/>
    </xf>
    <xf numFmtId="14" fontId="0" fillId="0" borderId="48" xfId="0" applyNumberFormat="1" applyBorder="1" applyAlignment="1">
      <alignment vertical="center"/>
    </xf>
    <xf numFmtId="0" fontId="0" fillId="0" borderId="1" xfId="0" applyBorder="1" applyAlignment="1">
      <alignment wrapText="1"/>
    </xf>
    <xf numFmtId="0" fontId="44" fillId="0" borderId="1" xfId="0" applyFont="1" applyBorder="1" applyAlignment="1">
      <alignment vertical="center"/>
    </xf>
    <xf numFmtId="0" fontId="0" fillId="0" borderId="1" xfId="0" applyBorder="1" applyAlignment="1">
      <alignment horizontal="left" wrapText="1"/>
    </xf>
    <xf numFmtId="0" fontId="53" fillId="14" borderId="0" xfId="8" applyFont="1" applyFill="1"/>
    <xf numFmtId="0" fontId="39" fillId="14" borderId="0" xfId="8" applyFont="1" applyFill="1"/>
    <xf numFmtId="0" fontId="13" fillId="14" borderId="0" xfId="8" applyFont="1" applyFill="1"/>
    <xf numFmtId="0" fontId="89" fillId="0" borderId="0" xfId="0" applyFont="1"/>
    <xf numFmtId="0" fontId="42" fillId="0" borderId="0" xfId="4" applyFont="1" applyBorder="1"/>
    <xf numFmtId="0" fontId="57" fillId="0" borderId="5" xfId="39" applyFont="1" applyBorder="1"/>
    <xf numFmtId="0" fontId="57" fillId="0" borderId="4" xfId="39" applyFont="1" applyBorder="1"/>
    <xf numFmtId="0" fontId="57" fillId="0" borderId="6" xfId="39" applyFont="1" applyBorder="1"/>
    <xf numFmtId="0" fontId="57" fillId="0" borderId="0" xfId="39" applyFont="1" applyBorder="1"/>
    <xf numFmtId="0" fontId="57" fillId="0" borderId="7" xfId="39" applyFont="1" applyBorder="1"/>
    <xf numFmtId="0" fontId="63" fillId="0" borderId="0" xfId="4" applyFont="1" applyFill="1" applyBorder="1" applyProtection="1">
      <protection locked="0"/>
    </xf>
    <xf numFmtId="0" fontId="54" fillId="12" borderId="0" xfId="39" applyFont="1" applyFill="1" applyBorder="1" applyProtection="1">
      <protection locked="0"/>
    </xf>
    <xf numFmtId="0" fontId="54" fillId="13" borderId="0" xfId="39" applyFont="1" applyFill="1" applyBorder="1" applyAlignment="1" applyProtection="1">
      <alignment horizontal="right"/>
      <protection locked="0"/>
    </xf>
    <xf numFmtId="0" fontId="54" fillId="13" borderId="0" xfId="39" applyFont="1" applyFill="1" applyBorder="1" applyProtection="1">
      <protection locked="0"/>
    </xf>
    <xf numFmtId="0" fontId="54" fillId="13" borderId="0" xfId="39" applyFont="1" applyFill="1" applyBorder="1" applyAlignment="1" applyProtection="1">
      <alignment horizontal="center"/>
      <protection locked="0"/>
    </xf>
    <xf numFmtId="0" fontId="57" fillId="0" borderId="0" xfId="39" applyFont="1" applyBorder="1" applyProtection="1"/>
    <xf numFmtId="3" fontId="57" fillId="0" borderId="0" xfId="39" applyNumberFormat="1" applyFont="1" applyBorder="1" applyProtection="1"/>
    <xf numFmtId="3" fontId="57" fillId="0" borderId="48" xfId="39" applyNumberFormat="1" applyFont="1" applyBorder="1" applyProtection="1"/>
    <xf numFmtId="172" fontId="57" fillId="0" borderId="0" xfId="18" applyNumberFormat="1" applyFont="1" applyBorder="1" applyProtection="1"/>
    <xf numFmtId="10" fontId="57" fillId="0" borderId="48" xfId="39" applyNumberFormat="1" applyFont="1" applyBorder="1" applyProtection="1"/>
    <xf numFmtId="10" fontId="57" fillId="0" borderId="0" xfId="39" applyNumberFormat="1" applyFont="1" applyBorder="1" applyProtection="1"/>
    <xf numFmtId="10" fontId="57" fillId="0" borderId="0" xfId="18" applyNumberFormat="1" applyFont="1" applyBorder="1" applyProtection="1"/>
    <xf numFmtId="3" fontId="57" fillId="0" borderId="49" xfId="39" applyNumberFormat="1" applyFont="1" applyBorder="1" applyProtection="1"/>
    <xf numFmtId="10" fontId="57" fillId="0" borderId="49" xfId="39" applyNumberFormat="1" applyFont="1" applyBorder="1" applyProtection="1"/>
    <xf numFmtId="10" fontId="57" fillId="0" borderId="50" xfId="39" applyNumberFormat="1" applyFont="1" applyBorder="1" applyProtection="1"/>
    <xf numFmtId="3" fontId="57" fillId="0" borderId="1" xfId="39" applyNumberFormat="1" applyFont="1" applyBorder="1" applyProtection="1"/>
    <xf numFmtId="0" fontId="57" fillId="0" borderId="9" xfId="39" applyFont="1" applyBorder="1"/>
    <xf numFmtId="0" fontId="57" fillId="0" borderId="8" xfId="39" applyFont="1" applyBorder="1"/>
    <xf numFmtId="0" fontId="57" fillId="0" borderId="10" xfId="39" applyFont="1" applyBorder="1"/>
    <xf numFmtId="0" fontId="58" fillId="0" borderId="3" xfId="40" applyFont="1" applyBorder="1"/>
    <xf numFmtId="0" fontId="90" fillId="0" borderId="3" xfId="39" applyBorder="1"/>
    <xf numFmtId="0" fontId="90" fillId="0" borderId="0" xfId="39" applyBorder="1"/>
    <xf numFmtId="0" fontId="43" fillId="0" borderId="0" xfId="39" applyFont="1" applyBorder="1"/>
    <xf numFmtId="0" fontId="44" fillId="0" borderId="1" xfId="4" applyBorder="1" applyAlignment="1">
      <alignment wrapText="1"/>
    </xf>
    <xf numFmtId="14" fontId="44" fillId="0" borderId="48" xfId="4" applyNumberFormat="1" applyBorder="1" applyAlignment="1">
      <alignment vertical="center"/>
    </xf>
    <xf numFmtId="0" fontId="44" fillId="0" borderId="1" xfId="4" applyFont="1" applyBorder="1" applyAlignment="1">
      <alignment vertical="center"/>
    </xf>
    <xf numFmtId="170" fontId="7" fillId="3" borderId="24" xfId="7" applyNumberFormat="1" applyFont="1" applyBorder="1" applyAlignment="1" applyProtection="1">
      <alignment horizontal="left"/>
      <protection locked="0"/>
    </xf>
    <xf numFmtId="1" fontId="7" fillId="3" borderId="24" xfId="7" applyNumberFormat="1" applyFont="1" applyBorder="1" applyAlignment="1" applyProtection="1">
      <alignment horizontal="left"/>
      <protection locked="0"/>
    </xf>
    <xf numFmtId="170" fontId="7" fillId="3" borderId="11" xfId="7" applyNumberFormat="1" applyFont="1" applyProtection="1">
      <protection locked="0"/>
    </xf>
    <xf numFmtId="170" fontId="7" fillId="3" borderId="11" xfId="7" applyNumberFormat="1" applyFont="1" applyAlignment="1" applyProtection="1">
      <alignment wrapText="1"/>
      <protection locked="0"/>
    </xf>
    <xf numFmtId="0" fontId="74" fillId="0" borderId="3" xfId="8" applyFont="1" applyBorder="1"/>
    <xf numFmtId="0" fontId="73" fillId="0" borderId="0" xfId="0" applyFont="1" applyBorder="1" applyProtection="1"/>
    <xf numFmtId="0" fontId="74" fillId="0" borderId="8" xfId="8" applyFont="1" applyBorder="1"/>
    <xf numFmtId="168" fontId="61" fillId="0" borderId="15" xfId="10" applyNumberFormat="1" applyFont="1" applyFill="1" applyBorder="1" applyAlignment="1" applyProtection="1">
      <alignment horizontal="center"/>
    </xf>
    <xf numFmtId="3" fontId="79" fillId="0" borderId="60" xfId="0" applyNumberFormat="1" applyFont="1" applyBorder="1"/>
    <xf numFmtId="3" fontId="79" fillId="0" borderId="62" xfId="0" applyNumberFormat="1" applyFont="1" applyBorder="1"/>
    <xf numFmtId="0" fontId="79" fillId="0" borderId="56" xfId="0" applyFont="1" applyBorder="1" applyAlignment="1">
      <alignment horizontal="center"/>
    </xf>
    <xf numFmtId="0" fontId="36" fillId="14" borderId="42" xfId="5" applyNumberFormat="1" applyFont="1" applyFill="1" applyBorder="1"/>
    <xf numFmtId="168" fontId="54" fillId="14" borderId="16" xfId="10" applyNumberFormat="1" applyFont="1" applyFill="1" applyBorder="1" applyAlignment="1" applyProtection="1"/>
    <xf numFmtId="170" fontId="39" fillId="14" borderId="11" xfId="7" applyNumberFormat="1" applyFont="1" applyFill="1" applyProtection="1"/>
    <xf numFmtId="170" fontId="6" fillId="14" borderId="11" xfId="7" applyNumberFormat="1" applyFont="1" applyFill="1" applyProtection="1"/>
    <xf numFmtId="168" fontId="79" fillId="0" borderId="56" xfId="0" applyNumberFormat="1" applyFont="1" applyBorder="1"/>
    <xf numFmtId="2" fontId="5" fillId="3" borderId="11" xfId="33" applyNumberFormat="1" applyFont="1" applyProtection="1">
      <protection locked="0"/>
    </xf>
    <xf numFmtId="2" fontId="5" fillId="3" borderId="11" xfId="33" applyNumberFormat="1" applyFont="1" applyProtection="1">
      <protection locked="0"/>
    </xf>
    <xf numFmtId="165" fontId="5" fillId="3" borderId="11" xfId="32" applyFont="1" applyFill="1" applyBorder="1" applyProtection="1">
      <protection locked="0"/>
    </xf>
    <xf numFmtId="168" fontId="5" fillId="3" borderId="11" xfId="32" applyNumberFormat="1" applyFont="1" applyFill="1" applyBorder="1" applyProtection="1">
      <protection locked="0"/>
    </xf>
    <xf numFmtId="168" fontId="5" fillId="3" borderId="11" xfId="32" applyNumberFormat="1" applyFont="1" applyFill="1" applyBorder="1" applyProtection="1">
      <protection locked="0"/>
    </xf>
    <xf numFmtId="0" fontId="0" fillId="0" borderId="1" xfId="0" applyBorder="1" applyAlignment="1">
      <alignment wrapText="1"/>
    </xf>
    <xf numFmtId="14" fontId="0" fillId="0" borderId="48" xfId="0" applyNumberFormat="1" applyBorder="1" applyAlignment="1">
      <alignment vertical="center"/>
    </xf>
    <xf numFmtId="0" fontId="44" fillId="0" borderId="1" xfId="0" applyFont="1" applyBorder="1" applyAlignment="1">
      <alignment vertical="center"/>
    </xf>
    <xf numFmtId="175" fontId="57" fillId="0" borderId="0" xfId="0" applyNumberFormat="1" applyFont="1" applyProtection="1"/>
    <xf numFmtId="2" fontId="39" fillId="3" borderId="0" xfId="7" applyNumberFormat="1" applyFont="1" applyBorder="1" applyAlignment="1" applyProtection="1">
      <alignment horizontal="right"/>
      <protection locked="0"/>
    </xf>
    <xf numFmtId="2" fontId="18" fillId="14" borderId="24" xfId="7" applyNumberFormat="1" applyFont="1" applyFill="1" applyBorder="1" applyAlignment="1" applyProtection="1">
      <alignment horizontal="center"/>
    </xf>
    <xf numFmtId="0" fontId="95" fillId="0" borderId="0" xfId="8" applyFont="1" applyProtection="1"/>
    <xf numFmtId="0" fontId="39" fillId="0" borderId="0" xfId="8" applyFont="1" applyProtection="1"/>
    <xf numFmtId="0" fontId="3" fillId="0" borderId="0" xfId="8" applyFont="1" applyProtection="1"/>
    <xf numFmtId="0" fontId="53" fillId="0" borderId="0" xfId="8" applyFont="1" applyProtection="1"/>
    <xf numFmtId="2" fontId="53" fillId="0" borderId="0" xfId="8" applyNumberFormat="1" applyFont="1" applyProtection="1"/>
    <xf numFmtId="14" fontId="39" fillId="14" borderId="0" xfId="7" applyNumberFormat="1" applyFont="1" applyFill="1" applyBorder="1" applyAlignment="1" applyProtection="1">
      <alignment horizontal="left"/>
    </xf>
    <xf numFmtId="3" fontId="42" fillId="0" borderId="1" xfId="4" applyNumberFormat="1" applyFont="1" applyBorder="1" applyProtection="1"/>
    <xf numFmtId="0" fontId="42" fillId="0" borderId="0" xfId="4" applyFont="1" applyBorder="1" applyProtection="1"/>
    <xf numFmtId="0" fontId="61" fillId="0" borderId="0" xfId="39" applyFont="1" applyBorder="1" applyProtection="1"/>
    <xf numFmtId="0" fontId="68" fillId="18" borderId="0" xfId="1" applyNumberFormat="1" applyFont="1" applyFill="1" applyBorder="1" applyAlignment="1" applyProtection="1"/>
    <xf numFmtId="0" fontId="2" fillId="0" borderId="0" xfId="8" applyFont="1" applyProtection="1"/>
    <xf numFmtId="2" fontId="2" fillId="0" borderId="0" xfId="8" applyNumberFormat="1" applyFont="1" applyProtection="1"/>
    <xf numFmtId="170" fontId="1" fillId="3" borderId="11" xfId="7" applyNumberFormat="1" applyFont="1" applyProtection="1">
      <protection locked="0"/>
    </xf>
    <xf numFmtId="164" fontId="57" fillId="0" borderId="0" xfId="0" applyNumberFormat="1" applyFont="1" applyProtection="1"/>
    <xf numFmtId="170" fontId="23" fillId="3" borderId="25" xfId="7" applyNumberFormat="1" applyFont="1" applyBorder="1" applyAlignment="1" applyProtection="1">
      <alignment horizontal="center" vertical="top" wrapText="1"/>
      <protection locked="0"/>
    </xf>
    <xf numFmtId="170" fontId="23" fillId="3" borderId="26" xfId="7" applyNumberFormat="1" applyFont="1" applyBorder="1" applyAlignment="1" applyProtection="1">
      <alignment horizontal="center" vertical="top" wrapText="1"/>
      <protection locked="0"/>
    </xf>
    <xf numFmtId="170" fontId="23" fillId="3" borderId="27" xfId="7" applyNumberFormat="1" applyFont="1" applyBorder="1" applyAlignment="1" applyProtection="1">
      <alignment horizontal="center" vertical="top" wrapText="1"/>
      <protection locked="0"/>
    </xf>
    <xf numFmtId="0" fontId="15" fillId="0" borderId="44" xfId="8" applyFont="1" applyBorder="1" applyAlignment="1">
      <alignment horizontal="left" vertical="top"/>
    </xf>
    <xf numFmtId="0" fontId="36" fillId="0" borderId="36" xfId="8" applyFont="1" applyBorder="1" applyAlignment="1">
      <alignment horizontal="left" vertical="top"/>
    </xf>
    <xf numFmtId="0" fontId="36" fillId="0" borderId="45" xfId="8" applyFont="1" applyBorder="1" applyAlignment="1">
      <alignment horizontal="left" vertical="top"/>
    </xf>
    <xf numFmtId="0" fontId="39" fillId="5" borderId="40" xfId="8" applyFont="1" applyFill="1" applyBorder="1" applyAlignment="1">
      <alignment horizontal="left" vertical="top" wrapText="1"/>
    </xf>
    <xf numFmtId="0" fontId="39" fillId="5" borderId="42" xfId="8" applyFont="1" applyFill="1" applyBorder="1" applyAlignment="1">
      <alignment horizontal="left" vertical="top" wrapText="1"/>
    </xf>
    <xf numFmtId="0" fontId="39" fillId="0" borderId="32" xfId="8" applyFont="1" applyBorder="1" applyAlignment="1">
      <alignment horizontal="left" vertical="top" wrapText="1"/>
    </xf>
    <xf numFmtId="0" fontId="39" fillId="0" borderId="33" xfId="8" applyFont="1" applyBorder="1" applyAlignment="1">
      <alignment horizontal="left" vertical="top" wrapText="1"/>
    </xf>
    <xf numFmtId="0" fontId="39" fillId="0" borderId="34" xfId="8" applyFont="1" applyBorder="1" applyAlignment="1">
      <alignment horizontal="left" vertical="top" wrapText="1"/>
    </xf>
    <xf numFmtId="0" fontId="39" fillId="0" borderId="35" xfId="8" applyFont="1" applyBorder="1" applyAlignment="1">
      <alignment horizontal="left" vertical="top" wrapText="1"/>
    </xf>
    <xf numFmtId="0" fontId="39" fillId="0" borderId="0" xfId="8" applyFont="1" applyBorder="1" applyAlignment="1">
      <alignment horizontal="left" vertical="top" wrapText="1"/>
    </xf>
    <xf numFmtId="0" fontId="39" fillId="0" borderId="36" xfId="8" applyFont="1" applyBorder="1" applyAlignment="1">
      <alignment horizontal="left" vertical="top" wrapText="1"/>
    </xf>
    <xf numFmtId="0" fontId="39" fillId="0" borderId="37" xfId="8" applyFont="1" applyBorder="1" applyAlignment="1">
      <alignment horizontal="left" vertical="top" wrapText="1"/>
    </xf>
    <xf numFmtId="0" fontId="39" fillId="0" borderId="38" xfId="8" applyFont="1" applyBorder="1" applyAlignment="1">
      <alignment horizontal="left" vertical="top" wrapText="1"/>
    </xf>
    <xf numFmtId="0" fontId="39" fillId="0" borderId="39" xfId="8" applyFont="1" applyBorder="1" applyAlignment="1">
      <alignment horizontal="left" vertical="top" wrapText="1"/>
    </xf>
    <xf numFmtId="0" fontId="53" fillId="0" borderId="25" xfId="8" applyFont="1" applyBorder="1" applyAlignment="1">
      <alignment horizontal="left" vertical="top" wrapText="1"/>
    </xf>
    <xf numFmtId="0" fontId="53" fillId="0" borderId="26" xfId="8" applyFont="1" applyBorder="1" applyAlignment="1">
      <alignment horizontal="left" vertical="top" wrapText="1"/>
    </xf>
    <xf numFmtId="0" fontId="53" fillId="0" borderId="27" xfId="8" applyFont="1" applyBorder="1" applyAlignment="1">
      <alignment horizontal="left" vertical="top" wrapText="1"/>
    </xf>
    <xf numFmtId="0" fontId="39" fillId="5" borderId="40" xfId="8" applyFont="1" applyFill="1" applyBorder="1" applyAlignment="1">
      <alignment horizontal="center"/>
    </xf>
    <xf numFmtId="0" fontId="39" fillId="5" borderId="41" xfId="8" applyFont="1" applyFill="1" applyBorder="1" applyAlignment="1">
      <alignment horizontal="center"/>
    </xf>
    <xf numFmtId="0" fontId="39" fillId="5" borderId="42" xfId="8" applyFont="1" applyFill="1" applyBorder="1" applyAlignment="1">
      <alignment horizontal="center"/>
    </xf>
    <xf numFmtId="0" fontId="44" fillId="15" borderId="1" xfId="0" applyFont="1" applyFill="1" applyBorder="1" applyAlignment="1">
      <alignment horizontal="center" vertical="top" wrapText="1"/>
    </xf>
    <xf numFmtId="0" fontId="0" fillId="15" borderId="1" xfId="0" applyFill="1" applyBorder="1" applyAlignment="1">
      <alignment horizontal="center" vertical="top" wrapText="1"/>
    </xf>
    <xf numFmtId="0" fontId="76" fillId="0" borderId="0" xfId="0" applyFont="1" applyAlignment="1">
      <alignment horizontal="left" vertical="center"/>
    </xf>
    <xf numFmtId="0" fontId="76" fillId="0" borderId="0" xfId="0" applyFont="1" applyBorder="1" applyAlignment="1">
      <alignment horizontal="left" vertical="center"/>
    </xf>
    <xf numFmtId="0" fontId="0" fillId="11" borderId="1" xfId="0" applyFill="1" applyBorder="1" applyAlignment="1">
      <alignment horizontal="center" vertical="top"/>
    </xf>
    <xf numFmtId="3" fontId="0" fillId="14" borderId="1" xfId="0" applyNumberFormat="1" applyFill="1" applyBorder="1" applyAlignment="1">
      <alignment horizontal="center" vertical="center"/>
    </xf>
    <xf numFmtId="0" fontId="0" fillId="15" borderId="1" xfId="0" applyFill="1" applyBorder="1" applyAlignment="1">
      <alignment horizontal="center" vertical="top"/>
    </xf>
    <xf numFmtId="3" fontId="0" fillId="0" borderId="1" xfId="0" applyNumberFormat="1" applyBorder="1" applyAlignment="1">
      <alignment horizontal="center" vertical="center"/>
    </xf>
    <xf numFmtId="49" fontId="44" fillId="15" borderId="1" xfId="0" applyNumberFormat="1" applyFont="1" applyFill="1" applyBorder="1" applyAlignment="1">
      <alignment horizontal="center" vertical="top" wrapText="1"/>
    </xf>
    <xf numFmtId="49" fontId="0" fillId="15" borderId="1" xfId="0" applyNumberFormat="1" applyFill="1" applyBorder="1" applyAlignment="1">
      <alignment horizontal="center" vertical="top" wrapText="1"/>
    </xf>
    <xf numFmtId="3" fontId="44" fillId="11" borderId="1" xfId="0" applyNumberFormat="1" applyFont="1" applyFill="1" applyBorder="1" applyAlignment="1">
      <alignment horizontal="center" vertical="center"/>
    </xf>
    <xf numFmtId="0" fontId="0" fillId="11" borderId="1" xfId="0" applyFill="1" applyBorder="1" applyAlignment="1">
      <alignment horizontal="center" vertical="center"/>
    </xf>
    <xf numFmtId="3" fontId="0" fillId="5" borderId="1" xfId="0" applyNumberFormat="1" applyFill="1" applyBorder="1" applyAlignment="1">
      <alignment horizontal="center" vertical="center"/>
    </xf>
    <xf numFmtId="3" fontId="0" fillId="11" borderId="48" xfId="0" applyNumberFormat="1" applyFill="1" applyBorder="1" applyAlignment="1">
      <alignment horizontal="center" vertical="center"/>
    </xf>
    <xf numFmtId="3" fontId="0" fillId="11" borderId="50" xfId="0" applyNumberFormat="1" applyFill="1" applyBorder="1" applyAlignment="1">
      <alignment horizontal="center" vertical="center"/>
    </xf>
    <xf numFmtId="0" fontId="44" fillId="0" borderId="1" xfId="0" applyFont="1" applyBorder="1" applyAlignment="1">
      <alignment horizontal="center" vertical="center"/>
    </xf>
    <xf numFmtId="0" fontId="0" fillId="0" borderId="1" xfId="0" applyBorder="1" applyAlignment="1">
      <alignment horizontal="center" vertical="center"/>
    </xf>
    <xf numFmtId="3" fontId="44" fillId="0" borderId="1" xfId="0" applyNumberFormat="1" applyFont="1" applyBorder="1" applyAlignment="1">
      <alignment horizontal="center" vertical="center"/>
    </xf>
    <xf numFmtId="0" fontId="0" fillId="11" borderId="48" xfId="0" applyFill="1" applyBorder="1" applyAlignment="1">
      <alignment horizontal="center" vertical="center"/>
    </xf>
    <xf numFmtId="0" fontId="0" fillId="11" borderId="50" xfId="0" applyFill="1" applyBorder="1" applyAlignment="1">
      <alignment horizontal="center" vertical="center"/>
    </xf>
    <xf numFmtId="0" fontId="83" fillId="0" borderId="0" xfId="0" applyFont="1" applyAlignment="1">
      <alignment horizontal="left" vertical="center" wrapText="1"/>
    </xf>
    <xf numFmtId="0" fontId="78" fillId="0" borderId="85" xfId="0" applyFont="1" applyBorder="1" applyAlignment="1">
      <alignment horizontal="center"/>
    </xf>
    <xf numFmtId="0" fontId="78" fillId="0" borderId="86" xfId="0" applyFont="1" applyBorder="1" applyAlignment="1">
      <alignment horizontal="center"/>
    </xf>
    <xf numFmtId="0" fontId="78" fillId="0" borderId="87" xfId="0" applyFont="1" applyBorder="1" applyAlignment="1">
      <alignment horizontal="center"/>
    </xf>
    <xf numFmtId="0" fontId="78" fillId="0" borderId="77"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78" xfId="0" applyFont="1" applyBorder="1" applyAlignment="1">
      <alignment horizontal="center" vertical="center" wrapText="1"/>
    </xf>
    <xf numFmtId="0" fontId="78" fillId="0" borderId="62" xfId="0" applyFont="1" applyBorder="1" applyAlignment="1">
      <alignment horizontal="center" vertical="center" wrapText="1"/>
    </xf>
    <xf numFmtId="0" fontId="78" fillId="0" borderId="68" xfId="0" applyFont="1" applyBorder="1" applyAlignment="1">
      <alignment horizontal="center" vertical="center" wrapText="1"/>
    </xf>
    <xf numFmtId="0" fontId="78" fillId="0" borderId="84" xfId="0" applyFont="1" applyBorder="1" applyAlignment="1">
      <alignment horizontal="center" vertical="center" wrapText="1"/>
    </xf>
    <xf numFmtId="0" fontId="78" fillId="0" borderId="69" xfId="0" applyFont="1" applyBorder="1" applyAlignment="1">
      <alignment horizontal="center" vertical="center" wrapText="1"/>
    </xf>
    <xf numFmtId="0" fontId="83" fillId="0" borderId="0" xfId="0" applyFont="1" applyFill="1" applyAlignment="1">
      <alignment horizontal="left" vertical="center" wrapText="1"/>
    </xf>
    <xf numFmtId="0" fontId="79" fillId="0" borderId="61" xfId="0" applyFont="1" applyFill="1" applyBorder="1" applyAlignment="1">
      <alignment horizontal="left"/>
    </xf>
    <xf numFmtId="0" fontId="79" fillId="0" borderId="62" xfId="0" applyFont="1" applyFill="1" applyBorder="1" applyAlignment="1">
      <alignment horizontal="left"/>
    </xf>
    <xf numFmtId="0" fontId="79" fillId="0" borderId="61" xfId="0" applyFont="1" applyBorder="1" applyAlignment="1">
      <alignment horizontal="left"/>
    </xf>
    <xf numFmtId="0" fontId="79" fillId="0" borderId="0" xfId="0" applyFont="1" applyBorder="1" applyAlignment="1">
      <alignment horizontal="left"/>
    </xf>
    <xf numFmtId="0" fontId="78" fillId="0" borderId="57" xfId="0" applyFont="1" applyBorder="1" applyAlignment="1">
      <alignment horizontal="left"/>
    </xf>
    <xf numFmtId="0" fontId="78" fillId="0" borderId="67" xfId="0" applyFont="1" applyBorder="1" applyAlignment="1">
      <alignment horizontal="left"/>
    </xf>
    <xf numFmtId="0" fontId="78" fillId="0" borderId="58" xfId="0" applyFont="1" applyBorder="1" applyAlignment="1">
      <alignment horizontal="left"/>
    </xf>
    <xf numFmtId="0" fontId="80" fillId="0" borderId="59" xfId="0" applyFont="1" applyFill="1" applyBorder="1" applyAlignment="1">
      <alignment horizontal="left"/>
    </xf>
    <xf numFmtId="0" fontId="80" fillId="0" borderId="65" xfId="0" applyFont="1" applyFill="1" applyBorder="1" applyAlignment="1">
      <alignment horizontal="left"/>
    </xf>
    <xf numFmtId="0" fontId="80" fillId="0" borderId="60" xfId="0" applyFont="1" applyFill="1" applyBorder="1" applyAlignment="1">
      <alignment horizontal="left"/>
    </xf>
    <xf numFmtId="0" fontId="78" fillId="16" borderId="76" xfId="0" applyFont="1" applyFill="1" applyBorder="1" applyAlignment="1">
      <alignment horizontal="left" wrapText="1"/>
    </xf>
    <xf numFmtId="0" fontId="78" fillId="16" borderId="67" xfId="0" applyFont="1" applyFill="1" applyBorder="1" applyAlignment="1">
      <alignment horizontal="left" wrapText="1"/>
    </xf>
    <xf numFmtId="0" fontId="78" fillId="16" borderId="58" xfId="0" applyFont="1" applyFill="1" applyBorder="1" applyAlignment="1">
      <alignment horizontal="left" wrapText="1"/>
    </xf>
    <xf numFmtId="0" fontId="78" fillId="0" borderId="76" xfId="0" applyFont="1" applyBorder="1" applyAlignment="1">
      <alignment horizontal="left" wrapText="1"/>
    </xf>
    <xf numFmtId="0" fontId="78" fillId="0" borderId="67" xfId="0" applyFont="1" applyBorder="1" applyAlignment="1">
      <alignment horizontal="left" wrapText="1"/>
    </xf>
    <xf numFmtId="0" fontId="78" fillId="0" borderId="58" xfId="0" applyFont="1" applyBorder="1" applyAlignment="1">
      <alignment horizontal="left" wrapText="1"/>
    </xf>
    <xf numFmtId="0" fontId="43" fillId="10" borderId="80" xfId="0" applyFont="1" applyFill="1" applyBorder="1" applyAlignment="1">
      <alignment horizontal="left"/>
    </xf>
    <xf numFmtId="0" fontId="43" fillId="10" borderId="81" xfId="0" applyFont="1" applyFill="1" applyBorder="1" applyAlignment="1">
      <alignment horizontal="left"/>
    </xf>
    <xf numFmtId="0" fontId="43" fillId="10" borderId="82" xfId="0" applyFont="1" applyFill="1" applyBorder="1" applyAlignment="1">
      <alignment horizontal="left"/>
    </xf>
    <xf numFmtId="0" fontId="79" fillId="14" borderId="61" xfId="0" applyFont="1" applyFill="1" applyBorder="1" applyAlignment="1">
      <alignment horizontal="left"/>
    </xf>
    <xf numFmtId="0" fontId="79" fillId="14" borderId="62" xfId="0" applyFont="1" applyFill="1" applyBorder="1" applyAlignment="1">
      <alignment horizontal="left"/>
    </xf>
    <xf numFmtId="0" fontId="79" fillId="0" borderId="59" xfId="0" applyFont="1" applyBorder="1" applyAlignment="1">
      <alignment horizontal="left"/>
    </xf>
    <xf numFmtId="0" fontId="79" fillId="0" borderId="65" xfId="0" applyFont="1" applyBorder="1" applyAlignment="1">
      <alignment horizontal="left"/>
    </xf>
    <xf numFmtId="0" fontId="78" fillId="16" borderId="79" xfId="0" applyFont="1" applyFill="1" applyBorder="1" applyAlignment="1">
      <alignment horizontal="left"/>
    </xf>
    <xf numFmtId="0" fontId="78" fillId="16" borderId="83" xfId="0" applyFont="1" applyFill="1" applyBorder="1" applyAlignment="1">
      <alignment horizontal="left"/>
    </xf>
    <xf numFmtId="0" fontId="78" fillId="16" borderId="72" xfId="0" applyFont="1" applyFill="1" applyBorder="1" applyAlignment="1">
      <alignment horizontal="left"/>
    </xf>
    <xf numFmtId="0" fontId="80" fillId="0" borderId="57" xfId="0" applyFont="1" applyBorder="1" applyAlignment="1">
      <alignment horizontal="left"/>
    </xf>
    <xf numFmtId="0" fontId="80" fillId="0" borderId="67" xfId="0" applyFont="1" applyBorder="1" applyAlignment="1">
      <alignment horizontal="left"/>
    </xf>
    <xf numFmtId="0" fontId="80" fillId="0" borderId="58" xfId="0" applyFont="1" applyBorder="1" applyAlignment="1">
      <alignment horizontal="left"/>
    </xf>
    <xf numFmtId="0" fontId="78" fillId="0" borderId="57" xfId="0" applyFont="1" applyBorder="1" applyAlignment="1">
      <alignment horizontal="left" vertical="center" wrapText="1"/>
    </xf>
    <xf numFmtId="0" fontId="78" fillId="0" borderId="67" xfId="0" applyFont="1" applyBorder="1" applyAlignment="1">
      <alignment horizontal="left" vertical="center" wrapText="1"/>
    </xf>
    <xf numFmtId="0" fontId="78" fillId="0" borderId="58" xfId="0" applyFont="1" applyBorder="1" applyAlignment="1">
      <alignment horizontal="left" vertical="center" wrapText="1"/>
    </xf>
    <xf numFmtId="0" fontId="66" fillId="0" borderId="0" xfId="0" applyFont="1" applyAlignment="1">
      <alignment horizontal="center"/>
    </xf>
    <xf numFmtId="3" fontId="66" fillId="0" borderId="0" xfId="0" applyNumberFormat="1" applyFont="1"/>
    <xf numFmtId="1" fontId="57" fillId="0" borderId="0" xfId="0" applyNumberFormat="1" applyFont="1" applyAlignment="1" applyProtection="1">
      <alignment horizontal="left"/>
    </xf>
  </cellXfs>
  <cellStyles count="184">
    <cellStyle name="Comma" xfId="1" builtinId="3"/>
    <cellStyle name="Comma 2" xfId="9"/>
    <cellStyle name="Comma 2 10" xfId="70"/>
    <cellStyle name="Comma 2 2" xfId="35"/>
    <cellStyle name="Comma 2 2 2" xfId="61"/>
    <cellStyle name="Comma 2 2 2 2" xfId="148"/>
    <cellStyle name="Comma 2 2 3" xfId="128"/>
    <cellStyle name="Comma 2 2 4" xfId="163"/>
    <cellStyle name="Comma 2 2 5" xfId="106"/>
    <cellStyle name="Comma 2 2 6" xfId="179"/>
    <cellStyle name="Comma 2 2 7" xfId="87"/>
    <cellStyle name="Comma 2 2 8" xfId="75"/>
    <cellStyle name="Comma 2 3" xfId="27"/>
    <cellStyle name="Comma 2 3 2" xfId="56"/>
    <cellStyle name="Comma 2 3 2 2" xfId="143"/>
    <cellStyle name="Comma 2 3 3" xfId="123"/>
    <cellStyle name="Comma 2 3 4" xfId="100"/>
    <cellStyle name="Comma 2 4" xfId="47"/>
    <cellStyle name="Comma 2 4 2" xfId="137"/>
    <cellStyle name="Comma 2 5" xfId="116"/>
    <cellStyle name="Comma 2 6" xfId="158"/>
    <cellStyle name="Comma 2 7" xfId="93"/>
    <cellStyle name="Comma 2 8" xfId="174"/>
    <cellStyle name="Comma 2 9" xfId="81"/>
    <cellStyle name="Comma 3" xfId="32"/>
    <cellStyle name="Comma 4" xfId="45"/>
    <cellStyle name="Comma 5" xfId="2"/>
    <cellStyle name="Comma 6" xfId="10"/>
    <cellStyle name="Comma 7" xfId="24"/>
    <cellStyle name="Hyperlink" xfId="3" builtinId="8"/>
    <cellStyle name="Normal" xfId="0" builtinId="0"/>
    <cellStyle name="Normal 2" xfId="4"/>
    <cellStyle name="Normal 2 2" xfId="23"/>
    <cellStyle name="Normal 2 2 2" xfId="44"/>
    <cellStyle name="Normal 2 2 2 2" xfId="68"/>
    <cellStyle name="Normal 2 2 2 3" xfId="155"/>
    <cellStyle name="Normal 2 2 3" xfId="54"/>
    <cellStyle name="Normal 2 2 3 2" xfId="135"/>
    <cellStyle name="Normal 2 2 4" xfId="171"/>
    <cellStyle name="Normal 2 2 5" xfId="114"/>
    <cellStyle name="Normal 3" xfId="8"/>
    <cellStyle name="Normal 3 10" xfId="173"/>
    <cellStyle name="Normal 3 11" xfId="80"/>
    <cellStyle name="Normal 3 12" xfId="69"/>
    <cellStyle name="Normal 3 2" xfId="15"/>
    <cellStyle name="Normal 3 2 10" xfId="84"/>
    <cellStyle name="Normal 3 2 11" xfId="72"/>
    <cellStyle name="Normal 3 2 2" xfId="22"/>
    <cellStyle name="Normal 3 2 2 2" xfId="37"/>
    <cellStyle name="Normal 3 2 2 2 2" xfId="63"/>
    <cellStyle name="Normal 3 2 2 2 3" xfId="150"/>
    <cellStyle name="Normal 3 2 2 3" xfId="130"/>
    <cellStyle name="Normal 3 2 2 4" xfId="165"/>
    <cellStyle name="Normal 3 2 2 5" xfId="108"/>
    <cellStyle name="Normal 3 2 2 6" xfId="181"/>
    <cellStyle name="Normal 3 2 2 7" xfId="89"/>
    <cellStyle name="Normal 3 2 2 8" xfId="77"/>
    <cellStyle name="Normal 3 2 3" xfId="43"/>
    <cellStyle name="Normal 3 2 3 2" xfId="145"/>
    <cellStyle name="Normal 3 2 3 3" xfId="125"/>
    <cellStyle name="Normal 3 2 3 4" xfId="170"/>
    <cellStyle name="Normal 3 2 3 5" xfId="103"/>
    <cellStyle name="Normal 3 2 4" xfId="30"/>
    <cellStyle name="Normal 3 2 4 2" xfId="58"/>
    <cellStyle name="Normal 3 2 4 3" xfId="113"/>
    <cellStyle name="Normal 3 2 5" xfId="49"/>
    <cellStyle name="Normal 3 2 5 2" xfId="140"/>
    <cellStyle name="Normal 3 2 6" xfId="120"/>
    <cellStyle name="Normal 3 2 7" xfId="160"/>
    <cellStyle name="Normal 3 2 8" xfId="97"/>
    <cellStyle name="Normal 3 2 9" xfId="176"/>
    <cellStyle name="Normal 3 3" xfId="19"/>
    <cellStyle name="Normal 3 3 2" xfId="34"/>
    <cellStyle name="Normal 3 3 2 2" xfId="60"/>
    <cellStyle name="Normal 3 3 2 3" xfId="147"/>
    <cellStyle name="Normal 3 3 3" xfId="51"/>
    <cellStyle name="Normal 3 3 3 2" xfId="127"/>
    <cellStyle name="Normal 3 3 4" xfId="162"/>
    <cellStyle name="Normal 3 3 5" xfId="105"/>
    <cellStyle name="Normal 3 3 6" xfId="178"/>
    <cellStyle name="Normal 3 3 7" xfId="86"/>
    <cellStyle name="Normal 3 3 8" xfId="74"/>
    <cellStyle name="Normal 3 4" xfId="40"/>
    <cellStyle name="Normal 3 4 2" xfId="65"/>
    <cellStyle name="Normal 3 4 2 2" xfId="142"/>
    <cellStyle name="Normal 3 4 2 3" xfId="183"/>
    <cellStyle name="Normal 3 4 2 4" xfId="91"/>
    <cellStyle name="Normal 3 4 2 5" xfId="79"/>
    <cellStyle name="Normal 3 4 3" xfId="122"/>
    <cellStyle name="Normal 3 4 4" xfId="167"/>
    <cellStyle name="Normal 3 4 5" xfId="99"/>
    <cellStyle name="Normal 3 5" xfId="26"/>
    <cellStyle name="Normal 3 5 2" xfId="55"/>
    <cellStyle name="Normal 3 5 2 2" xfId="152"/>
    <cellStyle name="Normal 3 5 3" xfId="132"/>
    <cellStyle name="Normal 3 5 4" xfId="110"/>
    <cellStyle name="Normal 3 6" xfId="46"/>
    <cellStyle name="Normal 3 6 2" xfId="136"/>
    <cellStyle name="Normal 3 7" xfId="115"/>
    <cellStyle name="Normal 3 8" xfId="157"/>
    <cellStyle name="Normal 3 9" xfId="92"/>
    <cellStyle name="Normal 4" xfId="11"/>
    <cellStyle name="Normal 4 2" xfId="16"/>
    <cellStyle name="Normal 4 2 10" xfId="73"/>
    <cellStyle name="Normal 4 2 2" xfId="38"/>
    <cellStyle name="Normal 4 2 2 2" xfId="64"/>
    <cellStyle name="Normal 4 2 2 2 2" xfId="151"/>
    <cellStyle name="Normal 4 2 2 3" xfId="131"/>
    <cellStyle name="Normal 4 2 2 4" xfId="166"/>
    <cellStyle name="Normal 4 2 2 5" xfId="109"/>
    <cellStyle name="Normal 4 2 2 6" xfId="182"/>
    <cellStyle name="Normal 4 2 2 7" xfId="90"/>
    <cellStyle name="Normal 4 2 2 8" xfId="78"/>
    <cellStyle name="Normal 4 2 3" xfId="31"/>
    <cellStyle name="Normal 4 2 3 2" xfId="59"/>
    <cellStyle name="Normal 4 2 3 2 2" xfId="146"/>
    <cellStyle name="Normal 4 2 3 3" xfId="126"/>
    <cellStyle name="Normal 4 2 3 4" xfId="104"/>
    <cellStyle name="Normal 4 2 4" xfId="50"/>
    <cellStyle name="Normal 4 2 4 2" xfId="141"/>
    <cellStyle name="Normal 4 2 5" xfId="121"/>
    <cellStyle name="Normal 4 2 6" xfId="161"/>
    <cellStyle name="Normal 4 2 7" xfId="98"/>
    <cellStyle name="Normal 4 2 8" xfId="177"/>
    <cellStyle name="Normal 4 2 9" xfId="85"/>
    <cellStyle name="Normal 4 3" xfId="20"/>
    <cellStyle name="Normal 4 3 2" xfId="41"/>
    <cellStyle name="Normal 4 3 2 2" xfId="66"/>
    <cellStyle name="Normal 4 3 2 3" xfId="153"/>
    <cellStyle name="Normal 4 3 3" xfId="52"/>
    <cellStyle name="Normal 4 3 3 2" xfId="133"/>
    <cellStyle name="Normal 4 3 4" xfId="168"/>
    <cellStyle name="Normal 4 3 5" xfId="111"/>
    <cellStyle name="Normal 5" xfId="12"/>
    <cellStyle name="Normal 5 10" xfId="82"/>
    <cellStyle name="Normal 5 11" xfId="71"/>
    <cellStyle name="Normal 5 2" xfId="21"/>
    <cellStyle name="Normal 5 2 2" xfId="36"/>
    <cellStyle name="Normal 5 2 2 2" xfId="62"/>
    <cellStyle name="Normal 5 2 2 3" xfId="149"/>
    <cellStyle name="Normal 5 2 3" xfId="53"/>
    <cellStyle name="Normal 5 2 3 2" xfId="129"/>
    <cellStyle name="Normal 5 2 4" xfId="164"/>
    <cellStyle name="Normal 5 2 5" xfId="107"/>
    <cellStyle name="Normal 5 2 6" xfId="180"/>
    <cellStyle name="Normal 5 2 7" xfId="88"/>
    <cellStyle name="Normal 5 2 8" xfId="76"/>
    <cellStyle name="Normal 5 3" xfId="42"/>
    <cellStyle name="Normal 5 3 2" xfId="67"/>
    <cellStyle name="Normal 5 3 2 2" xfId="144"/>
    <cellStyle name="Normal 5 3 3" xfId="124"/>
    <cellStyle name="Normal 5 3 4" xfId="169"/>
    <cellStyle name="Normal 5 3 5" xfId="101"/>
    <cellStyle name="Normal 5 4" xfId="28"/>
    <cellStyle name="Normal 5 4 2" xfId="57"/>
    <cellStyle name="Normal 5 4 2 2" xfId="154"/>
    <cellStyle name="Normal 5 4 3" xfId="134"/>
    <cellStyle name="Normal 5 4 4" xfId="112"/>
    <cellStyle name="Normal 5 5" xfId="48"/>
    <cellStyle name="Normal 5 5 2" xfId="138"/>
    <cellStyle name="Normal 5 6" xfId="117"/>
    <cellStyle name="Normal 5 7" xfId="159"/>
    <cellStyle name="Normal 5 8" xfId="94"/>
    <cellStyle name="Normal 5 9" xfId="175"/>
    <cellStyle name="Normal 6" xfId="13"/>
    <cellStyle name="Normal 6 2" xfId="102"/>
    <cellStyle name="Normal 6 3" xfId="139"/>
    <cellStyle name="Normal 6 4" xfId="118"/>
    <cellStyle name="Normal 6 5" xfId="95"/>
    <cellStyle name="Normal 7" xfId="17"/>
    <cellStyle name="Normal 7 2" xfId="39"/>
    <cellStyle name="Normal 8" xfId="156"/>
    <cellStyle name="Normal 9" xfId="172"/>
    <cellStyle name="Note" xfId="7" builtinId="10"/>
    <cellStyle name="Note 2" xfId="33"/>
    <cellStyle name="Note 3" xfId="25"/>
    <cellStyle name="Percent" xfId="5" builtinId="5"/>
    <cellStyle name="Percent 2" xfId="6"/>
    <cellStyle name="Percent 3" xfId="14"/>
    <cellStyle name="Percent 3 2" xfId="29"/>
    <cellStyle name="Percent 3 3" xfId="119"/>
    <cellStyle name="Percent 3 4" xfId="96"/>
    <cellStyle name="Percent 3 5" xfId="83"/>
    <cellStyle name="Percent 4" xfId="18"/>
  </cellStyles>
  <dxfs count="242">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theme="0"/>
      </font>
      <fill>
        <patternFill>
          <bgColor theme="0"/>
        </patternFill>
      </fill>
      <border>
        <left/>
        <right/>
        <bottom style="thin">
          <color theme="0" tint="-0.24994659260841701"/>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theme="0"/>
      </font>
      <fill>
        <patternFill>
          <bgColor theme="0"/>
        </patternFill>
      </fill>
      <border>
        <left/>
        <right/>
        <bottom style="thin">
          <color theme="0" tint="-0.24994659260841701"/>
        </bottom>
      </border>
    </dxf>
    <dxf>
      <font>
        <color theme="0"/>
      </font>
      <fill>
        <patternFill>
          <bgColor theme="0"/>
        </patternFill>
      </fill>
      <border>
        <left/>
        <right/>
        <bottom style="thin">
          <color theme="0" tint="-0.24994659260841701"/>
        </bottom>
      </border>
    </dxf>
    <dxf>
      <font>
        <color rgb="FF9C0006"/>
      </font>
      <fill>
        <patternFill>
          <bgColor rgb="FFFFC7CE"/>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t.uio.no\los-ads-u1\EFP\IHR-leveranser%20-%20EFP\S&#248;knadsbudsjett\s&#248;knadsbudsjettering_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ering"/>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cb.europa.eu/stats/policy_and_exchange_rates/euro_reference_exchange_rates/html/eurofxref-graph-nok.en.htm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B1:K33"/>
  <sheetViews>
    <sheetView showGridLines="0" tabSelected="1" zoomScaleNormal="100" workbookViewId="0">
      <selection activeCell="I24" sqref="I24"/>
    </sheetView>
  </sheetViews>
  <sheetFormatPr defaultColWidth="9.140625" defaultRowHeight="15" x14ac:dyDescent="0.25"/>
  <cols>
    <col min="1" max="1" width="0.42578125" style="42" customWidth="1"/>
    <col min="2" max="2" width="51.5703125" style="42" customWidth="1"/>
    <col min="3" max="3" width="58" style="42" customWidth="1"/>
    <col min="4" max="4" width="8.28515625" style="42" customWidth="1"/>
    <col min="5" max="5" width="9.28515625" style="42" customWidth="1"/>
    <col min="6" max="6" width="11.28515625" style="42" customWidth="1"/>
    <col min="7" max="7" width="8.28515625" style="42" customWidth="1"/>
    <col min="8" max="8" width="10.7109375" style="42" bestFit="1" customWidth="1"/>
    <col min="9" max="9" width="10.140625" style="42" bestFit="1" customWidth="1"/>
    <col min="10" max="16384" width="9.140625" style="42"/>
  </cols>
  <sheetData>
    <row r="1" spans="2:10" ht="21" x14ac:dyDescent="0.35">
      <c r="B1" s="92" t="s">
        <v>118</v>
      </c>
      <c r="C1" s="334"/>
    </row>
    <row r="3" spans="2:10" ht="18.75" x14ac:dyDescent="0.3">
      <c r="B3" s="114" t="s">
        <v>94</v>
      </c>
      <c r="C3" s="93"/>
      <c r="D3" s="20"/>
      <c r="F3" s="20"/>
      <c r="G3" s="20"/>
    </row>
    <row r="4" spans="2:10" x14ac:dyDescent="0.25">
      <c r="B4" s="100" t="s">
        <v>105</v>
      </c>
      <c r="C4" s="183"/>
      <c r="D4" s="20"/>
      <c r="E4" s="20"/>
      <c r="F4" s="20"/>
      <c r="G4" s="20"/>
    </row>
    <row r="5" spans="2:10" x14ac:dyDescent="0.25">
      <c r="B5" s="100" t="s">
        <v>108</v>
      </c>
      <c r="C5" s="386"/>
    </row>
    <row r="6" spans="2:10" x14ac:dyDescent="0.25">
      <c r="B6" s="100" t="s">
        <v>106</v>
      </c>
      <c r="C6" s="387"/>
      <c r="D6" s="20"/>
      <c r="E6" s="20"/>
      <c r="F6" s="20"/>
      <c r="G6" s="20"/>
      <c r="I6" s="136"/>
      <c r="J6" s="136"/>
    </row>
    <row r="7" spans="2:10" x14ac:dyDescent="0.25">
      <c r="B7" s="100" t="s">
        <v>107</v>
      </c>
      <c r="C7" s="144"/>
      <c r="J7" s="136"/>
    </row>
    <row r="8" spans="2:10" x14ac:dyDescent="0.25">
      <c r="B8" s="100" t="s">
        <v>25</v>
      </c>
      <c r="C8" s="89"/>
      <c r="D8" s="20"/>
      <c r="E8" s="20"/>
      <c r="F8" s="20"/>
      <c r="G8" s="20"/>
      <c r="J8" s="136"/>
    </row>
    <row r="9" spans="2:10" x14ac:dyDescent="0.25">
      <c r="B9" s="100" t="s">
        <v>89</v>
      </c>
      <c r="C9" s="109"/>
      <c r="D9" s="20"/>
      <c r="E9" s="20"/>
      <c r="F9" s="20"/>
      <c r="G9" s="20"/>
      <c r="J9" s="136"/>
    </row>
    <row r="10" spans="2:10" ht="15" customHeight="1" x14ac:dyDescent="0.25">
      <c r="B10" s="430" t="s">
        <v>318</v>
      </c>
      <c r="C10" s="427"/>
      <c r="J10" s="136"/>
    </row>
    <row r="11" spans="2:10" x14ac:dyDescent="0.25">
      <c r="B11" s="431"/>
      <c r="C11" s="428"/>
    </row>
    <row r="12" spans="2:10" x14ac:dyDescent="0.25">
      <c r="B12" s="431"/>
      <c r="C12" s="428"/>
    </row>
    <row r="13" spans="2:10" x14ac:dyDescent="0.25">
      <c r="B13" s="431"/>
      <c r="C13" s="428"/>
    </row>
    <row r="14" spans="2:10" x14ac:dyDescent="0.25">
      <c r="B14" s="432"/>
      <c r="C14" s="429"/>
    </row>
    <row r="15" spans="2:10" ht="18.75" x14ac:dyDescent="0.3">
      <c r="B15" s="114" t="s">
        <v>95</v>
      </c>
      <c r="C15" s="93"/>
    </row>
    <row r="16" spans="2:10" x14ac:dyDescent="0.25">
      <c r="B16" s="100" t="s">
        <v>330</v>
      </c>
      <c r="C16" s="331"/>
    </row>
    <row r="17" spans="2:11" x14ac:dyDescent="0.25">
      <c r="B17" s="100" t="s">
        <v>102</v>
      </c>
      <c r="C17" s="90"/>
      <c r="D17" s="20"/>
      <c r="E17" s="20"/>
      <c r="F17" s="20"/>
    </row>
    <row r="18" spans="2:11" x14ac:dyDescent="0.25">
      <c r="B18" s="100" t="s">
        <v>103</v>
      </c>
      <c r="C18" s="83"/>
    </row>
    <row r="19" spans="2:11" x14ac:dyDescent="0.25">
      <c r="B19" s="100" t="s">
        <v>104</v>
      </c>
      <c r="C19" s="83"/>
    </row>
    <row r="20" spans="2:11" x14ac:dyDescent="0.25">
      <c r="B20" s="100" t="s">
        <v>88</v>
      </c>
      <c r="C20" s="83"/>
      <c r="F20" s="413" t="s">
        <v>360</v>
      </c>
      <c r="G20" s="413"/>
      <c r="H20" s="413"/>
      <c r="I20" s="413"/>
      <c r="J20" s="414"/>
    </row>
    <row r="21" spans="2:11" ht="18.75" x14ac:dyDescent="0.3">
      <c r="B21" s="114" t="s">
        <v>96</v>
      </c>
      <c r="C21" s="93"/>
      <c r="F21" s="423" t="s">
        <v>371</v>
      </c>
      <c r="G21" s="414"/>
      <c r="H21" s="414"/>
      <c r="I21" s="424">
        <v>10.1</v>
      </c>
      <c r="J21" s="413" t="s">
        <v>364</v>
      </c>
      <c r="K21" s="227" t="s">
        <v>365</v>
      </c>
    </row>
    <row r="22" spans="2:11" x14ac:dyDescent="0.25">
      <c r="B22" s="100" t="s">
        <v>79</v>
      </c>
      <c r="C22" s="333" t="s">
        <v>283</v>
      </c>
      <c r="F22" s="415" t="s">
        <v>361</v>
      </c>
      <c r="G22" s="414"/>
      <c r="H22" s="414"/>
      <c r="I22" s="414">
        <v>0.25</v>
      </c>
      <c r="J22" s="227"/>
    </row>
    <row r="23" spans="2:11" x14ac:dyDescent="0.25">
      <c r="B23" s="329" t="s">
        <v>329</v>
      </c>
      <c r="C23" s="412">
        <f>IF(I24&gt;0,I24,I23)</f>
        <v>9.85</v>
      </c>
      <c r="F23" s="416" t="s">
        <v>362</v>
      </c>
      <c r="G23" s="416"/>
      <c r="H23" s="416"/>
      <c r="I23" s="417">
        <f>I21-I22</f>
        <v>9.85</v>
      </c>
      <c r="J23" s="414"/>
    </row>
    <row r="24" spans="2:11" x14ac:dyDescent="0.25">
      <c r="B24" s="226" t="s">
        <v>284</v>
      </c>
      <c r="C24" s="332" t="s">
        <v>337</v>
      </c>
      <c r="E24" s="278"/>
      <c r="F24" s="418" t="s">
        <v>363</v>
      </c>
      <c r="G24" s="418"/>
      <c r="H24" s="418"/>
      <c r="I24" s="411">
        <v>0</v>
      </c>
      <c r="J24" s="414"/>
    </row>
    <row r="25" spans="2:11" x14ac:dyDescent="0.25">
      <c r="B25" s="214" t="s">
        <v>255</v>
      </c>
      <c r="C25" s="327" t="s">
        <v>252</v>
      </c>
      <c r="H25" s="58"/>
    </row>
    <row r="26" spans="2:11" x14ac:dyDescent="0.25">
      <c r="B26" s="214" t="s">
        <v>256</v>
      </c>
      <c r="C26" s="327" t="s">
        <v>121</v>
      </c>
      <c r="E26" s="163" t="s">
        <v>186</v>
      </c>
      <c r="F26" s="163" t="s">
        <v>187</v>
      </c>
    </row>
    <row r="27" spans="2:11" x14ac:dyDescent="0.25">
      <c r="B27" s="134" t="s">
        <v>101</v>
      </c>
      <c r="C27" s="228" t="s">
        <v>183</v>
      </c>
      <c r="E27" s="43">
        <f>IF(Registrering!C27="",0,VLOOKUP(Registrering!C27,Tabeller!$G$6:$J$11,2,FALSE))</f>
        <v>422280</v>
      </c>
      <c r="F27" s="43">
        <f>IF(Registrering!C27="",0,VLOOKUP(Registrering!C27,Tabeller!$G$6:$J$11,3,FALSE))</f>
        <v>115260</v>
      </c>
      <c r="I27" s="85"/>
    </row>
    <row r="28" spans="2:11" ht="18.75" x14ac:dyDescent="0.3">
      <c r="B28" s="114" t="s">
        <v>97</v>
      </c>
      <c r="C28" s="101"/>
      <c r="D28" s="42">
        <v>2023</v>
      </c>
      <c r="E28" s="42">
        <v>2024</v>
      </c>
    </row>
    <row r="29" spans="2:11" x14ac:dyDescent="0.25">
      <c r="B29" s="135" t="s">
        <v>153</v>
      </c>
      <c r="C29" s="91" t="s">
        <v>369</v>
      </c>
      <c r="D29" s="162">
        <v>0</v>
      </c>
      <c r="E29" s="162">
        <v>0.03</v>
      </c>
      <c r="G29" s="268" t="s">
        <v>317</v>
      </c>
    </row>
    <row r="31" spans="2:11" x14ac:dyDescent="0.25">
      <c r="B31" s="350"/>
    </row>
    <row r="32" spans="2:11" x14ac:dyDescent="0.25">
      <c r="B32" s="351"/>
    </row>
    <row r="33" spans="2:2" x14ac:dyDescent="0.25">
      <c r="B33" s="352"/>
    </row>
  </sheetData>
  <sheetProtection algorithmName="SHA-512" hashValue="Ll9yB540+0e6YW3BWBE6H9pH2j+DFx9OCW5lnF41joZEDWcdAMhiDIa63E7KRIAP2hN89+9egDcmTc2Vun4lQA==" saltValue="xEKP4Dpq0Ax9AYCvZ2F4MQ==" spinCount="100000" sheet="1" objects="1" scenarios="1"/>
  <mergeCells count="2">
    <mergeCell ref="C10:C14"/>
    <mergeCell ref="B10:B14"/>
  </mergeCells>
  <conditionalFormatting sqref="C4">
    <cfRule type="expression" dxfId="241" priority="37" stopIfTrue="1">
      <formula>#REF!="NEI"</formula>
    </cfRule>
  </conditionalFormatting>
  <conditionalFormatting sqref="C6">
    <cfRule type="expression" dxfId="240" priority="36" stopIfTrue="1">
      <formula>#REF!="NEI"</formula>
    </cfRule>
  </conditionalFormatting>
  <conditionalFormatting sqref="C5">
    <cfRule type="expression" dxfId="239" priority="33" stopIfTrue="1">
      <formula>#REF!="NEI"</formula>
    </cfRule>
  </conditionalFormatting>
  <conditionalFormatting sqref="C9">
    <cfRule type="expression" dxfId="238" priority="32" stopIfTrue="1">
      <formula>#REF!="NEI"</formula>
    </cfRule>
  </conditionalFormatting>
  <conditionalFormatting sqref="C8">
    <cfRule type="expression" dxfId="237" priority="31" stopIfTrue="1">
      <formula>#REF!="NEI"</formula>
    </cfRule>
  </conditionalFormatting>
  <conditionalFormatting sqref="C18">
    <cfRule type="expression" dxfId="236" priority="27" stopIfTrue="1">
      <formula>#REF!="NEI"</formula>
    </cfRule>
  </conditionalFormatting>
  <conditionalFormatting sqref="C19:C20">
    <cfRule type="expression" dxfId="235" priority="26" stopIfTrue="1">
      <formula>#REF!="NEI"</formula>
    </cfRule>
  </conditionalFormatting>
  <conditionalFormatting sqref="C10">
    <cfRule type="expression" dxfId="234" priority="25" stopIfTrue="1">
      <formula>#REF!="NEI"</formula>
    </cfRule>
  </conditionalFormatting>
  <conditionalFormatting sqref="C17">
    <cfRule type="expression" dxfId="233" priority="24" stopIfTrue="1">
      <formula>#REF!="NEI"</formula>
    </cfRule>
  </conditionalFormatting>
  <conditionalFormatting sqref="C22:C23">
    <cfRule type="expression" dxfId="232" priority="23" stopIfTrue="1">
      <formula>#REF!="NEI"</formula>
    </cfRule>
  </conditionalFormatting>
  <conditionalFormatting sqref="C7">
    <cfRule type="expression" dxfId="231" priority="6" stopIfTrue="1">
      <formula>#REF!="NEI"</formula>
    </cfRule>
  </conditionalFormatting>
  <conditionalFormatting sqref="C16">
    <cfRule type="expression" dxfId="230" priority="2" stopIfTrue="1">
      <formula>#REF!="NEI"</formula>
    </cfRule>
  </conditionalFormatting>
  <conditionalFormatting sqref="F24:I24">
    <cfRule type="expression" dxfId="229" priority="1" stopIfTrue="1">
      <formula>#REF!="NEI"</formula>
    </cfRule>
  </conditionalFormatting>
  <dataValidations count="1">
    <dataValidation type="list" allowBlank="1" showInputMessage="1" showErrorMessage="1" sqref="C29">
      <formula1>"Ja,Nei"</formula1>
    </dataValidation>
  </dataValidations>
  <hyperlinks>
    <hyperlink ref="K21" r:id="rId1"/>
  </hyperlinks>
  <pageMargins left="0.43307086614173229" right="0.35433070866141736" top="0.74803149606299213" bottom="0.74803149606299213" header="0.31496062992125984" footer="0.31496062992125984"/>
  <pageSetup paperSize="9" orientation="landscape"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Tabeller!$G$6:$G$7</xm:f>
          </x14:formula1>
          <xm:sqref>C27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R39"/>
  <sheetViews>
    <sheetView showGridLines="0" topLeftCell="A10" zoomScaleNormal="100" workbookViewId="0">
      <selection activeCell="B18" sqref="B18"/>
    </sheetView>
  </sheetViews>
  <sheetFormatPr defaultColWidth="9.140625" defaultRowHeight="15" x14ac:dyDescent="0.25"/>
  <cols>
    <col min="1" max="1" width="50" style="174" customWidth="1"/>
    <col min="2" max="2" width="22.5703125" style="174" customWidth="1"/>
    <col min="3" max="3" width="23.85546875" style="174" customWidth="1"/>
    <col min="4" max="4" width="22.42578125" style="174" customWidth="1"/>
    <col min="5" max="5" width="25.42578125" style="174" customWidth="1"/>
    <col min="6" max="6" width="10.85546875" style="174" customWidth="1"/>
    <col min="7" max="7" width="8.28515625" style="174" bestFit="1" customWidth="1"/>
    <col min="8" max="8" width="6.42578125" style="174" customWidth="1"/>
    <col min="9" max="9" width="10.5703125" style="174" customWidth="1"/>
    <col min="10" max="16384" width="9.140625" style="174"/>
  </cols>
  <sheetData>
    <row r="1" spans="1:16" x14ac:dyDescent="0.25">
      <c r="A1" s="173" t="s">
        <v>282</v>
      </c>
    </row>
    <row r="2" spans="1:16" x14ac:dyDescent="0.25">
      <c r="G2" s="321"/>
      <c r="H2" s="321"/>
      <c r="I2" s="321"/>
      <c r="J2" s="321"/>
    </row>
    <row r="3" spans="1:16" x14ac:dyDescent="0.25">
      <c r="A3" s="174" t="s">
        <v>203</v>
      </c>
      <c r="B3" s="240">
        <f>Registrering!C23</f>
        <v>9.85</v>
      </c>
      <c r="D3" s="227"/>
    </row>
    <row r="5" spans="1:16" x14ac:dyDescent="0.25">
      <c r="A5" s="182" t="s">
        <v>213</v>
      </c>
    </row>
    <row r="6" spans="1:16" x14ac:dyDescent="0.25">
      <c r="A6" s="116"/>
    </row>
    <row r="7" spans="1:16" x14ac:dyDescent="0.25">
      <c r="A7" s="175" t="s">
        <v>207</v>
      </c>
      <c r="B7" s="176" t="str">
        <f>Budsjett!F3</f>
        <v>Periode 1 (1-18 month)</v>
      </c>
      <c r="C7" s="176" t="str">
        <f>Budsjett!G3</f>
        <v>Periode 2 (19-36 month)</v>
      </c>
      <c r="D7" s="176" t="str">
        <f>Budsjett!H3</f>
        <v>Periode 3 (37-54 month)</v>
      </c>
      <c r="E7" s="176" t="str">
        <f>Budsjett!I3</f>
        <v>Periode 4 (55-60 (72) month)</v>
      </c>
      <c r="F7" s="176" t="s">
        <v>0</v>
      </c>
    </row>
    <row r="8" spans="1:16" x14ac:dyDescent="0.25">
      <c r="A8" s="174" t="s">
        <v>204</v>
      </c>
      <c r="B8" s="177">
        <f>SUM(Budsjett!BP12+Budsjett!BP20+Budsjett!BP41)/$B$3</f>
        <v>0</v>
      </c>
      <c r="C8" s="177">
        <f>SUM(Budsjett!BQ12+Budsjett!BQ20+Budsjett!BQ41)/$B$3</f>
        <v>0</v>
      </c>
      <c r="D8" s="177">
        <f>SUM(Budsjett!BR12+Budsjett!BR20+Budsjett!BR41)/$B$3</f>
        <v>0</v>
      </c>
      <c r="E8" s="177">
        <f>SUM(Budsjett!BS12+Budsjett!BS20+Budsjett!BS41)/$B$3</f>
        <v>0</v>
      </c>
      <c r="F8" s="317">
        <f>SUM(B8:E8)</f>
        <v>0</v>
      </c>
    </row>
    <row r="9" spans="1:16" x14ac:dyDescent="0.25">
      <c r="A9" s="175" t="s">
        <v>205</v>
      </c>
      <c r="B9" s="176"/>
      <c r="C9" s="176"/>
      <c r="D9" s="176"/>
      <c r="E9" s="176"/>
      <c r="F9" s="176"/>
    </row>
    <row r="10" spans="1:16" x14ac:dyDescent="0.25">
      <c r="A10" s="174" t="s">
        <v>206</v>
      </c>
      <c r="B10" s="177">
        <f>SUM(Budsjett!BP45+Budsjett!BP46+Budsjett!BP47+Budsjett!BP53+Budsjett!BP50)/$B$3</f>
        <v>0</v>
      </c>
      <c r="C10" s="177">
        <f>SUM(Budsjett!BQ45+Budsjett!BQ46+Budsjett!BQ47+Budsjett!BQ53+Budsjett!BQ50)/$B$3</f>
        <v>0</v>
      </c>
      <c r="D10" s="177">
        <f>SUM(Budsjett!BR45+Budsjett!BR46+Budsjett!BR47+Budsjett!BR53+Budsjett!BR50)/$B$3</f>
        <v>0</v>
      </c>
      <c r="E10" s="177">
        <f>SUM(Budsjett!BS45+Budsjett!BS46+Budsjett!BS47+Budsjett!BS53+Budsjett!BS50)/$B$3</f>
        <v>0</v>
      </c>
      <c r="F10" s="317">
        <f>SUM(B10:E10)</f>
        <v>0</v>
      </c>
    </row>
    <row r="11" spans="1:16" s="178" customFormat="1" x14ac:dyDescent="0.25">
      <c r="A11" s="178" t="s">
        <v>234</v>
      </c>
      <c r="B11" s="179">
        <f>Budsjett!BP49/'Budget for the contract'!$B$3</f>
        <v>0</v>
      </c>
      <c r="C11" s="179">
        <f>Budsjett!BQ49/'Budget for the contract'!$B$3</f>
        <v>0</v>
      </c>
      <c r="D11" s="179">
        <f>Budsjett!BR49/'Budget for the contract'!$B$3</f>
        <v>0</v>
      </c>
      <c r="E11" s="179">
        <f>Budsjett!BS49/'Budget for the contract'!$B$3</f>
        <v>0</v>
      </c>
      <c r="F11" s="318">
        <f>SUM(B11:E11)</f>
        <v>0</v>
      </c>
    </row>
    <row r="12" spans="1:16" x14ac:dyDescent="0.25">
      <c r="A12" s="175" t="s">
        <v>208</v>
      </c>
      <c r="B12" s="176"/>
      <c r="C12" s="176"/>
      <c r="D12" s="176"/>
      <c r="E12" s="176"/>
      <c r="F12" s="319"/>
    </row>
    <row r="13" spans="1:16" x14ac:dyDescent="0.25">
      <c r="A13" s="174" t="s">
        <v>209</v>
      </c>
      <c r="B13" s="177">
        <f>Budsjett!BP51/$B$3</f>
        <v>0</v>
      </c>
      <c r="C13" s="177">
        <f>Budsjett!BQ51/$B$3</f>
        <v>0</v>
      </c>
      <c r="D13" s="177">
        <f>Budsjett!BR51/$B$3</f>
        <v>0</v>
      </c>
      <c r="E13" s="177">
        <f>Budsjett!BS51/$B$3</f>
        <v>0</v>
      </c>
      <c r="F13" s="317">
        <f>SUM(B13:E13)</f>
        <v>0</v>
      </c>
    </row>
    <row r="14" spans="1:16" x14ac:dyDescent="0.25">
      <c r="A14" s="174" t="s">
        <v>210</v>
      </c>
      <c r="B14" s="177">
        <f>Budsjett!BP52/$B$3</f>
        <v>0</v>
      </c>
      <c r="C14" s="177">
        <f>Budsjett!BQ52/$B$3</f>
        <v>0</v>
      </c>
      <c r="D14" s="177">
        <f>Budsjett!BR52/$B$3</f>
        <v>0</v>
      </c>
      <c r="E14" s="177">
        <f>Budsjett!BS52/$B$3</f>
        <v>0</v>
      </c>
      <c r="F14" s="317">
        <f>SUM(B14:E14)</f>
        <v>0</v>
      </c>
      <c r="I14" s="321"/>
      <c r="J14" s="321"/>
      <c r="K14" s="321"/>
      <c r="L14" s="321"/>
      <c r="M14" s="321"/>
      <c r="N14" s="321"/>
      <c r="O14" s="321"/>
      <c r="P14" s="288"/>
    </row>
    <row r="15" spans="1:16" x14ac:dyDescent="0.25">
      <c r="A15" s="31" t="s">
        <v>211</v>
      </c>
      <c r="B15" s="171">
        <f>B8+B10+B11+B13+B14</f>
        <v>0</v>
      </c>
      <c r="C15" s="171">
        <f>C8+C10+C11+C13+C14</f>
        <v>0</v>
      </c>
      <c r="D15" s="171">
        <f>D8+D10+D11+D13+D14</f>
        <v>0</v>
      </c>
      <c r="E15" s="171">
        <f>E8+E10+E11+E13+E14</f>
        <v>0</v>
      </c>
      <c r="F15" s="171">
        <f>F8+F10+F11+F13+F14</f>
        <v>0</v>
      </c>
    </row>
    <row r="17" spans="1:18" x14ac:dyDescent="0.25">
      <c r="A17" s="175" t="s">
        <v>213</v>
      </c>
      <c r="B17" s="248"/>
      <c r="C17" s="176"/>
      <c r="D17" s="176"/>
      <c r="E17" s="176"/>
      <c r="F17" s="176"/>
    </row>
    <row r="18" spans="1:18" x14ac:dyDescent="0.25">
      <c r="A18" s="174" t="s">
        <v>211</v>
      </c>
      <c r="B18" s="177">
        <f>B15</f>
        <v>0</v>
      </c>
      <c r="C18" s="177">
        <f>C15</f>
        <v>0</v>
      </c>
      <c r="D18" s="177">
        <f>D15</f>
        <v>0</v>
      </c>
      <c r="E18" s="177">
        <f>E15</f>
        <v>0</v>
      </c>
      <c r="F18" s="177">
        <f>SUM(B18:E18)</f>
        <v>0</v>
      </c>
    </row>
    <row r="19" spans="1:18" x14ac:dyDescent="0.25">
      <c r="A19" s="174" t="s">
        <v>372</v>
      </c>
      <c r="B19" s="177">
        <f>(B8+B10+B11)*0.07</f>
        <v>0</v>
      </c>
      <c r="C19" s="177">
        <f>(C8+C10+C11)*0.07</f>
        <v>0</v>
      </c>
      <c r="D19" s="177">
        <f>(D8+D10+D11)*0.07</f>
        <v>0</v>
      </c>
      <c r="E19" s="177">
        <f>(E8+E10+E11)*0.07</f>
        <v>0</v>
      </c>
      <c r="F19" s="177">
        <f>SUM(B19:E19)</f>
        <v>0</v>
      </c>
      <c r="G19" s="263"/>
    </row>
    <row r="20" spans="1:18" x14ac:dyDescent="0.25">
      <c r="A20" s="31" t="s">
        <v>214</v>
      </c>
      <c r="B20" s="171">
        <f>SUM(B18:B19)</f>
        <v>0</v>
      </c>
      <c r="C20" s="171">
        <f>SUM(C18:C19)</f>
        <v>0</v>
      </c>
      <c r="D20" s="171">
        <f>SUM(D18:D19)</f>
        <v>0</v>
      </c>
      <c r="E20" s="171">
        <f>SUM(E18:E19)</f>
        <v>0</v>
      </c>
      <c r="F20" s="171">
        <f>SUM(B20:E20)</f>
        <v>0</v>
      </c>
      <c r="I20" s="321"/>
      <c r="J20" s="321"/>
      <c r="K20" s="321"/>
      <c r="L20" s="321"/>
      <c r="M20" s="321"/>
      <c r="N20" s="321"/>
      <c r="O20" s="321"/>
    </row>
    <row r="21" spans="1:18" x14ac:dyDescent="0.25">
      <c r="A21" s="31" t="s">
        <v>215</v>
      </c>
      <c r="B21" s="171">
        <f>B20</f>
        <v>0</v>
      </c>
      <c r="C21" s="171">
        <f>C20</f>
        <v>0</v>
      </c>
      <c r="D21" s="171">
        <f>D20</f>
        <v>0</v>
      </c>
      <c r="E21" s="171">
        <f>E20</f>
        <v>0</v>
      </c>
      <c r="F21" s="171">
        <f>SUM(B21:E21)</f>
        <v>0</v>
      </c>
      <c r="G21" s="172"/>
    </row>
    <row r="22" spans="1:18" x14ac:dyDescent="0.25">
      <c r="B22" s="246"/>
      <c r="I22" s="321"/>
      <c r="J22" s="321"/>
      <c r="K22" s="321"/>
    </row>
    <row r="23" spans="1:18" x14ac:dyDescent="0.25">
      <c r="A23" s="174" t="s">
        <v>220</v>
      </c>
      <c r="B23" s="322">
        <f>-B21*$B$3</f>
        <v>0</v>
      </c>
      <c r="C23" s="322">
        <f>-C21*$B$3</f>
        <v>0</v>
      </c>
      <c r="D23" s="322">
        <f>-D21*$B$3</f>
        <v>0</v>
      </c>
      <c r="E23" s="322">
        <f>-E21*$B$3</f>
        <v>0</v>
      </c>
      <c r="F23" s="322">
        <f>SUM(B23:E23)</f>
        <v>0</v>
      </c>
      <c r="I23" s="321"/>
      <c r="J23" s="321"/>
      <c r="K23" s="321"/>
      <c r="L23" s="321"/>
      <c r="M23" s="321"/>
      <c r="N23" s="321"/>
      <c r="O23" s="321"/>
      <c r="P23" s="321"/>
      <c r="Q23" s="321"/>
      <c r="R23" s="321"/>
    </row>
    <row r="24" spans="1:18" x14ac:dyDescent="0.25">
      <c r="B24" s="249"/>
    </row>
    <row r="25" spans="1:18" x14ac:dyDescent="0.25">
      <c r="A25" s="182" t="s">
        <v>224</v>
      </c>
      <c r="B25" s="250"/>
    </row>
    <row r="26" spans="1:18" x14ac:dyDescent="0.25">
      <c r="A26" s="175"/>
      <c r="B26" s="176" t="str">
        <f>B7</f>
        <v>Periode 1 (1-18 month)</v>
      </c>
      <c r="C26" s="176" t="str">
        <f>C7</f>
        <v>Periode 2 (19-36 month)</v>
      </c>
      <c r="D26" s="176" t="str">
        <f>D7</f>
        <v>Periode 3 (37-54 month)</v>
      </c>
      <c r="E26" s="176" t="str">
        <f>E7</f>
        <v>Periode 4 (55-60 (72) month)</v>
      </c>
      <c r="F26" s="176" t="s">
        <v>0</v>
      </c>
    </row>
    <row r="27" spans="1:18" x14ac:dyDescent="0.25">
      <c r="A27" s="174" t="s">
        <v>207</v>
      </c>
      <c r="B27" s="177">
        <f>SUM(Budsjett!BW35)/$B$3</f>
        <v>0</v>
      </c>
      <c r="C27" s="177">
        <f>SUM(Budsjett!BX35)/$B$3</f>
        <v>0</v>
      </c>
      <c r="D27" s="177">
        <f>SUM(Budsjett!BY35)/$B$3</f>
        <v>0</v>
      </c>
      <c r="E27" s="177">
        <f>SUM(Budsjett!BZ35)/$B$3</f>
        <v>0</v>
      </c>
      <c r="F27" s="177">
        <f>SUM(B27:E27)</f>
        <v>0</v>
      </c>
    </row>
    <row r="28" spans="1:18" x14ac:dyDescent="0.25">
      <c r="A28" s="174" t="s">
        <v>205</v>
      </c>
      <c r="B28" s="177">
        <f>(Budsjett!BW54)/$B$3</f>
        <v>0</v>
      </c>
      <c r="C28" s="177">
        <f>(Budsjett!BX54)/$B$3</f>
        <v>0</v>
      </c>
      <c r="D28" s="177">
        <f>(Budsjett!BY54)/$B$3</f>
        <v>0</v>
      </c>
      <c r="E28" s="177">
        <f>(Budsjett!BZ54)/$B$3</f>
        <v>0</v>
      </c>
      <c r="F28" s="177">
        <f>SUM(B28:E28)</f>
        <v>0</v>
      </c>
    </row>
    <row r="29" spans="1:18" x14ac:dyDescent="0.25">
      <c r="A29" s="31" t="s">
        <v>211</v>
      </c>
      <c r="B29" s="171">
        <f>B27+B28</f>
        <v>0</v>
      </c>
      <c r="C29" s="171">
        <f>C27+C28</f>
        <v>0</v>
      </c>
      <c r="D29" s="171">
        <f>D27+D28</f>
        <v>0</v>
      </c>
      <c r="E29" s="171">
        <f>E27+E28</f>
        <v>0</v>
      </c>
      <c r="F29" s="171">
        <f>F27+F28</f>
        <v>0</v>
      </c>
    </row>
    <row r="30" spans="1:18" x14ac:dyDescent="0.25">
      <c r="A30" s="174" t="s">
        <v>223</v>
      </c>
      <c r="B30" s="177">
        <f>'Intern oversikt andel'!C14/$B$3-B19</f>
        <v>0</v>
      </c>
      <c r="C30" s="177">
        <f>'Intern oversikt andel'!D14/$B$3-C19</f>
        <v>0</v>
      </c>
      <c r="D30" s="177">
        <f>'Intern oversikt andel'!E14/$B$3-D19</f>
        <v>0</v>
      </c>
      <c r="E30" s="177">
        <f>'Intern oversikt andel'!F14/$B$3-E19</f>
        <v>0</v>
      </c>
      <c r="F30" s="177">
        <f>SUM(B30:E30)</f>
        <v>0</v>
      </c>
    </row>
    <row r="31" spans="1:18" x14ac:dyDescent="0.25">
      <c r="A31" s="31" t="s">
        <v>212</v>
      </c>
      <c r="B31" s="171">
        <f>B29+B30</f>
        <v>0</v>
      </c>
      <c r="C31" s="171">
        <f>C29+C30</f>
        <v>0</v>
      </c>
      <c r="D31" s="171">
        <f>D29+D30</f>
        <v>0</v>
      </c>
      <c r="E31" s="171">
        <f>E29+E30</f>
        <v>0</v>
      </c>
      <c r="F31" s="171">
        <f>SUM(B31:E31)</f>
        <v>0</v>
      </c>
    </row>
    <row r="33" spans="1:10" x14ac:dyDescent="0.25">
      <c r="A33" s="175" t="s">
        <v>217</v>
      </c>
      <c r="B33" s="176" t="str">
        <f>B7</f>
        <v>Periode 1 (1-18 month)</v>
      </c>
      <c r="C33" s="176" t="str">
        <f>C7</f>
        <v>Periode 2 (19-36 month)</v>
      </c>
      <c r="D33" s="176" t="str">
        <f>D7</f>
        <v>Periode 3 (37-54 month)</v>
      </c>
      <c r="E33" s="176" t="str">
        <f>E7</f>
        <v>Periode 4 (55-60 (72) month)</v>
      </c>
      <c r="F33" s="176" t="s">
        <v>0</v>
      </c>
      <c r="G33" s="176" t="s">
        <v>218</v>
      </c>
    </row>
    <row r="34" spans="1:10" x14ac:dyDescent="0.25">
      <c r="A34" s="31" t="s">
        <v>216</v>
      </c>
      <c r="B34" s="171">
        <f>B31</f>
        <v>0</v>
      </c>
      <c r="C34" s="171">
        <f>C31</f>
        <v>0</v>
      </c>
      <c r="D34" s="171">
        <f>D31</f>
        <v>0</v>
      </c>
      <c r="E34" s="171">
        <f>E31</f>
        <v>0</v>
      </c>
      <c r="F34" s="171">
        <f>SUM(B34:E34)</f>
        <v>0</v>
      </c>
      <c r="G34" s="172" t="e">
        <f>F34/F36*100</f>
        <v>#DIV/0!</v>
      </c>
    </row>
    <row r="35" spans="1:10" x14ac:dyDescent="0.25">
      <c r="A35" s="31" t="s">
        <v>222</v>
      </c>
      <c r="B35" s="171">
        <f>B21</f>
        <v>0</v>
      </c>
      <c r="C35" s="171">
        <f>C21</f>
        <v>0</v>
      </c>
      <c r="D35" s="171">
        <f>D21</f>
        <v>0</v>
      </c>
      <c r="E35" s="171">
        <f>E21</f>
        <v>0</v>
      </c>
      <c r="F35" s="171">
        <f>SUM(B35:E35)</f>
        <v>0</v>
      </c>
      <c r="G35" s="172" t="e">
        <f>F35/F36*100</f>
        <v>#DIV/0!</v>
      </c>
    </row>
    <row r="36" spans="1:10" x14ac:dyDescent="0.25">
      <c r="A36" s="31" t="s">
        <v>221</v>
      </c>
      <c r="B36" s="171">
        <f>B21+B34</f>
        <v>0</v>
      </c>
      <c r="C36" s="171">
        <f>C21+C34</f>
        <v>0</v>
      </c>
      <c r="D36" s="171">
        <f>D21+D34</f>
        <v>0</v>
      </c>
      <c r="E36" s="171">
        <f>E21+E34</f>
        <v>0</v>
      </c>
      <c r="F36" s="171">
        <f>SUM(B36:E36)</f>
        <v>0</v>
      </c>
      <c r="G36" s="172" t="e">
        <f>F36/F36*100</f>
        <v>#DIV/0!</v>
      </c>
      <c r="J36" s="174">
        <v>1</v>
      </c>
    </row>
    <row r="38" spans="1:10" x14ac:dyDescent="0.25">
      <c r="D38" s="191"/>
    </row>
    <row r="39" spans="1:10" x14ac:dyDescent="0.25">
      <c r="D39" s="191"/>
    </row>
  </sheetData>
  <sheetProtection algorithmName="SHA-512" hashValue="Tq4vIhDKEI8m+z2K8cEEyvWXZm305l6vymIwq88NaQ3wDRSrKl20XgBxcGrzTHMbYXsVZCcmFpIJdt3wH1JXGA==" saltValue="lbE0h6dp0/dVO4EUIsjxAQ==" spinCount="100000" sheet="1" objects="1" scenarios="1"/>
  <conditionalFormatting sqref="E23">
    <cfRule type="expression" dxfId="10" priority="5" stopIfTrue="1">
      <formula>#REF!="NEI"</formula>
    </cfRule>
  </conditionalFormatting>
  <conditionalFormatting sqref="B23">
    <cfRule type="expression" dxfId="9" priority="4" stopIfTrue="1">
      <formula>#REF!="NEI"</formula>
    </cfRule>
  </conditionalFormatting>
  <conditionalFormatting sqref="C23">
    <cfRule type="expression" dxfId="8" priority="3" stopIfTrue="1">
      <formula>#REF!="NEI"</formula>
    </cfRule>
  </conditionalFormatting>
  <conditionalFormatting sqref="D23">
    <cfRule type="expression" dxfId="7" priority="2" stopIfTrue="1">
      <formula>#REF!="NEI"</formula>
    </cfRule>
  </conditionalFormatting>
  <conditionalFormatting sqref="F23">
    <cfRule type="expression" dxfId="6" priority="1" stopIfTrue="1">
      <formula>#REF!="NEI"</formula>
    </cfRule>
  </conditionalFormatting>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tint="-0.34998626667073579"/>
  </sheetPr>
  <dimension ref="A1:AH106"/>
  <sheetViews>
    <sheetView showGridLines="0" zoomScale="85" zoomScaleNormal="85" workbookViewId="0">
      <selection activeCell="L33" sqref="L33"/>
    </sheetView>
  </sheetViews>
  <sheetFormatPr defaultColWidth="9.140625" defaultRowHeight="12.75" x14ac:dyDescent="0.2"/>
  <cols>
    <col min="1" max="1" width="11.140625" customWidth="1"/>
    <col min="2" max="2" width="10.28515625" style="5" bestFit="1" customWidth="1"/>
    <col min="4" max="4" width="8.5703125" bestFit="1" customWidth="1"/>
    <col min="5" max="5" width="8.5703125" customWidth="1"/>
    <col min="7" max="7" width="28.42578125" bestFit="1" customWidth="1"/>
    <col min="8" max="8" width="9.28515625" customWidth="1"/>
    <col min="9" max="9" width="21.42578125" customWidth="1"/>
    <col min="10" max="10" width="12" bestFit="1" customWidth="1"/>
    <col min="11" max="16" width="9.28515625" customWidth="1"/>
    <col min="17" max="19" width="10.5703125" customWidth="1"/>
    <col min="20" max="21" width="4.85546875" customWidth="1"/>
    <col min="24" max="24" width="6.5703125" bestFit="1" customWidth="1"/>
    <col min="25" max="25" width="12.28515625" bestFit="1" customWidth="1"/>
    <col min="26" max="26" width="14.5703125" bestFit="1" customWidth="1"/>
    <col min="27" max="27" width="12" bestFit="1" customWidth="1"/>
    <col min="28" max="28" width="36.7109375" customWidth="1"/>
    <col min="34" max="34" width="76.7109375" bestFit="1" customWidth="1"/>
  </cols>
  <sheetData>
    <row r="1" spans="1:34" ht="21" x14ac:dyDescent="0.35">
      <c r="A1" s="28" t="s">
        <v>1</v>
      </c>
      <c r="G1" s="28" t="s">
        <v>370</v>
      </c>
      <c r="AG1" s="17" t="s">
        <v>72</v>
      </c>
    </row>
    <row r="2" spans="1:34" ht="15" x14ac:dyDescent="0.25">
      <c r="A2" s="353" t="s">
        <v>373</v>
      </c>
      <c r="C2" t="s">
        <v>164</v>
      </c>
      <c r="D2" t="s">
        <v>165</v>
      </c>
    </row>
    <row r="3" spans="1:34" x14ac:dyDescent="0.2">
      <c r="A3" s="17" t="s">
        <v>30</v>
      </c>
      <c r="B3" s="17" t="s">
        <v>29</v>
      </c>
      <c r="G3" s="10" t="s">
        <v>17</v>
      </c>
      <c r="H3" s="8">
        <v>1628</v>
      </c>
      <c r="I3" s="6" t="s">
        <v>18</v>
      </c>
      <c r="J3" s="6"/>
      <c r="K3" s="6"/>
      <c r="L3" s="6"/>
      <c r="AC3" s="6"/>
      <c r="AD3" s="6"/>
      <c r="AE3" s="6"/>
      <c r="AF3" s="6"/>
    </row>
    <row r="4" spans="1:34" x14ac:dyDescent="0.2">
      <c r="A4" s="16" t="s">
        <v>91</v>
      </c>
      <c r="B4" s="16" t="s">
        <v>92</v>
      </c>
      <c r="C4" s="16" t="s">
        <v>91</v>
      </c>
      <c r="D4" s="16" t="s">
        <v>166</v>
      </c>
      <c r="E4" s="160"/>
      <c r="G4" s="6"/>
      <c r="H4" s="6"/>
      <c r="I4" s="6"/>
      <c r="J4" s="9"/>
      <c r="K4" s="6"/>
      <c r="L4" s="9"/>
      <c r="S4" s="4"/>
      <c r="T4" s="4"/>
      <c r="U4" s="4"/>
      <c r="AC4" s="9"/>
      <c r="AD4" s="6"/>
      <c r="AE4" s="6"/>
      <c r="AF4" s="6"/>
    </row>
    <row r="5" spans="1:34" ht="16.5" thickBot="1" x14ac:dyDescent="0.3">
      <c r="A5" s="514">
        <v>19</v>
      </c>
      <c r="B5" s="515">
        <v>350800</v>
      </c>
      <c r="C5">
        <v>1</v>
      </c>
      <c r="D5">
        <v>0</v>
      </c>
      <c r="G5" s="3"/>
      <c r="H5" s="11" t="s">
        <v>184</v>
      </c>
      <c r="I5" s="7" t="s">
        <v>185</v>
      </c>
      <c r="J5" s="7" t="str">
        <f>Budsjett!F3</f>
        <v>Periode 1 (1-18 month)</v>
      </c>
      <c r="K5" s="7" t="str">
        <f>Budsjett!G3</f>
        <v>Periode 2 (19-36 month)</v>
      </c>
      <c r="L5" s="7" t="str">
        <f>Budsjett!H3</f>
        <v>Periode 3 (37-54 month)</v>
      </c>
      <c r="M5" s="7" t="str">
        <f>Budsjett!I3</f>
        <v>Periode 4 (55-60 (72) month)</v>
      </c>
      <c r="N5" s="7" t="e">
        <f>Budsjett!#REF!</f>
        <v>#REF!</v>
      </c>
      <c r="O5" s="7" t="e">
        <f>Budsjett!#REF!</f>
        <v>#REF!</v>
      </c>
      <c r="P5" s="7" t="e">
        <f>Budsjett!#REF!</f>
        <v>#REF!</v>
      </c>
      <c r="Q5" s="7" t="e">
        <f>Budsjett!#REF!</f>
        <v>#REF!</v>
      </c>
      <c r="R5" s="7" t="e">
        <f>Budsjett!#REF!</f>
        <v>#REF!</v>
      </c>
      <c r="S5" s="7" t="e">
        <f>Budsjett!#REF!</f>
        <v>#REF!</v>
      </c>
      <c r="T5" s="4"/>
      <c r="U5" s="4"/>
      <c r="W5" s="6" t="s">
        <v>23</v>
      </c>
      <c r="AC5" s="6"/>
      <c r="AD5" s="6"/>
      <c r="AE5" s="6"/>
      <c r="AF5" s="6"/>
    </row>
    <row r="6" spans="1:34" ht="16.5" thickBot="1" x14ac:dyDescent="0.3">
      <c r="A6" s="514">
        <v>20</v>
      </c>
      <c r="B6" s="515">
        <v>354300</v>
      </c>
      <c r="C6">
        <v>2</v>
      </c>
      <c r="D6">
        <v>0</v>
      </c>
      <c r="G6" s="10" t="s">
        <v>183</v>
      </c>
      <c r="H6" s="419">
        <v>422280</v>
      </c>
      <c r="I6" s="419">
        <v>115260</v>
      </c>
      <c r="J6" s="419"/>
      <c r="K6" s="419"/>
      <c r="L6" s="419"/>
      <c r="M6" s="419"/>
      <c r="N6" s="419"/>
      <c r="O6" s="419"/>
      <c r="P6" s="419"/>
      <c r="Q6" s="419"/>
      <c r="R6" s="419"/>
      <c r="S6" s="419"/>
      <c r="T6" s="4"/>
      <c r="U6" s="4"/>
      <c r="W6" s="6" t="s">
        <v>12</v>
      </c>
      <c r="AC6" s="6"/>
      <c r="AD6" s="6"/>
      <c r="AE6" s="6"/>
      <c r="AF6" s="6"/>
      <c r="AG6" s="37" t="s">
        <v>71</v>
      </c>
      <c r="AH6" s="36"/>
    </row>
    <row r="7" spans="1:34" ht="15" x14ac:dyDescent="0.25">
      <c r="A7" s="514">
        <v>21</v>
      </c>
      <c r="B7" s="515">
        <v>358300</v>
      </c>
      <c r="C7">
        <v>3</v>
      </c>
      <c r="D7">
        <v>0</v>
      </c>
      <c r="G7" s="10" t="s">
        <v>46</v>
      </c>
      <c r="H7" s="419">
        <v>422280</v>
      </c>
      <c r="I7" s="419">
        <v>115260</v>
      </c>
      <c r="J7" s="419"/>
      <c r="K7" s="419"/>
      <c r="L7" s="419"/>
      <c r="M7" s="419"/>
      <c r="N7" s="419"/>
      <c r="O7" s="419"/>
      <c r="P7" s="419"/>
      <c r="Q7" s="419"/>
      <c r="R7" s="419"/>
      <c r="S7" s="419"/>
      <c r="T7" s="4"/>
      <c r="U7" s="4"/>
      <c r="W7" s="6" t="s">
        <v>13</v>
      </c>
      <c r="AC7" s="6"/>
      <c r="AD7" s="6"/>
      <c r="AE7" s="6"/>
      <c r="AF7" s="6"/>
      <c r="AH7" s="36" t="s">
        <v>319</v>
      </c>
    </row>
    <row r="8" spans="1:34" ht="15" x14ac:dyDescent="0.25">
      <c r="A8" s="514">
        <v>22</v>
      </c>
      <c r="B8" s="515">
        <v>361900</v>
      </c>
      <c r="C8">
        <v>4</v>
      </c>
      <c r="D8">
        <v>0</v>
      </c>
      <c r="G8" s="10" t="s">
        <v>188</v>
      </c>
      <c r="H8" s="419"/>
      <c r="I8" s="419"/>
      <c r="J8" s="419">
        <f>H6*I33</f>
        <v>428614.19999999995</v>
      </c>
      <c r="K8" s="419">
        <f>H6*J33</f>
        <v>448094.71538999997</v>
      </c>
      <c r="L8" s="419">
        <f>H6*K33</f>
        <v>468460.62020447548</v>
      </c>
      <c r="M8" s="419">
        <f>H6*L33</f>
        <v>489752.15539276885</v>
      </c>
      <c r="N8" s="419"/>
      <c r="O8" s="419"/>
      <c r="P8" s="419"/>
      <c r="Q8" s="419"/>
      <c r="R8" s="419"/>
      <c r="S8" s="419"/>
      <c r="T8" s="4"/>
      <c r="U8" s="4"/>
      <c r="W8" s="6" t="s">
        <v>13</v>
      </c>
      <c r="AC8" s="6"/>
      <c r="AD8" s="6"/>
      <c r="AE8" s="6"/>
      <c r="AF8" s="6"/>
      <c r="AH8" s="36"/>
    </row>
    <row r="9" spans="1:34" s="147" customFormat="1" ht="15" x14ac:dyDescent="0.25">
      <c r="A9" s="514">
        <v>23</v>
      </c>
      <c r="B9" s="515">
        <v>365800</v>
      </c>
      <c r="C9" s="147">
        <v>5</v>
      </c>
      <c r="D9" s="147">
        <v>0</v>
      </c>
      <c r="G9" s="10" t="s">
        <v>191</v>
      </c>
      <c r="H9" s="419"/>
      <c r="I9" s="419"/>
      <c r="J9" s="419">
        <f>I6*I33</f>
        <v>116988.9</v>
      </c>
      <c r="K9" s="419">
        <f>I7*J33</f>
        <v>122306.04550499999</v>
      </c>
      <c r="L9" s="419">
        <f>I6*K33</f>
        <v>127864.85527320224</v>
      </c>
      <c r="M9" s="419">
        <f>I6*L33</f>
        <v>133676.31294536928</v>
      </c>
      <c r="N9" s="419"/>
      <c r="O9" s="419"/>
      <c r="P9" s="419"/>
      <c r="Q9" s="419"/>
      <c r="R9" s="419"/>
      <c r="S9" s="419"/>
      <c r="T9" s="4"/>
      <c r="U9" s="4"/>
      <c r="W9" s="6" t="s">
        <v>14</v>
      </c>
      <c r="AC9" s="6"/>
      <c r="AD9" s="6"/>
      <c r="AE9" s="6"/>
      <c r="AF9" s="6"/>
      <c r="AG9"/>
      <c r="AH9" s="36"/>
    </row>
    <row r="10" spans="1:34" ht="15" x14ac:dyDescent="0.25">
      <c r="A10" s="514">
        <v>24</v>
      </c>
      <c r="B10" s="515">
        <v>369800</v>
      </c>
      <c r="C10">
        <v>6</v>
      </c>
      <c r="D10">
        <v>0</v>
      </c>
      <c r="G10" s="10" t="s">
        <v>189</v>
      </c>
      <c r="H10" s="419"/>
      <c r="I10" s="419"/>
      <c r="J10" s="419">
        <v>428614.19999999995</v>
      </c>
      <c r="K10" s="419">
        <v>448094.71538999997</v>
      </c>
      <c r="L10" s="419">
        <v>468460.62020447548</v>
      </c>
      <c r="M10" s="419">
        <v>489752.15539276885</v>
      </c>
      <c r="N10" s="419"/>
      <c r="O10" s="419"/>
      <c r="P10" s="419"/>
      <c r="Q10" s="419"/>
      <c r="R10" s="419"/>
      <c r="S10" s="419"/>
      <c r="T10" s="4"/>
      <c r="U10" s="4"/>
      <c r="W10" s="6" t="s">
        <v>15</v>
      </c>
      <c r="AC10" s="6"/>
      <c r="AD10" s="6"/>
      <c r="AE10" s="6"/>
      <c r="AF10" s="6"/>
    </row>
    <row r="11" spans="1:34" ht="15" x14ac:dyDescent="0.25">
      <c r="A11" s="514">
        <v>25</v>
      </c>
      <c r="B11" s="515">
        <v>374000</v>
      </c>
      <c r="C11">
        <v>7</v>
      </c>
      <c r="D11">
        <v>0</v>
      </c>
      <c r="G11" s="10" t="s">
        <v>190</v>
      </c>
      <c r="H11" s="419"/>
      <c r="I11" s="419"/>
      <c r="J11" s="419">
        <v>116988.9</v>
      </c>
      <c r="K11" s="419">
        <v>122306.04550499999</v>
      </c>
      <c r="L11" s="419">
        <v>127864.85527320224</v>
      </c>
      <c r="M11" s="419">
        <v>133676.31294536928</v>
      </c>
      <c r="N11" s="419"/>
      <c r="O11" s="419"/>
      <c r="P11" s="419"/>
      <c r="Q11" s="419"/>
      <c r="R11" s="419"/>
      <c r="S11" s="419"/>
      <c r="T11" s="4"/>
      <c r="U11" s="4"/>
      <c r="W11" s="6" t="s">
        <v>47</v>
      </c>
      <c r="AC11" s="6"/>
      <c r="AD11" s="6"/>
      <c r="AE11" s="6"/>
      <c r="AF11" s="6"/>
    </row>
    <row r="12" spans="1:34" ht="15" x14ac:dyDescent="0.25">
      <c r="A12" s="514">
        <v>26</v>
      </c>
      <c r="B12" s="515">
        <v>378300</v>
      </c>
      <c r="C12">
        <v>8</v>
      </c>
      <c r="D12">
        <v>0</v>
      </c>
      <c r="K12" s="6"/>
      <c r="S12" s="4"/>
      <c r="T12" s="4"/>
      <c r="U12" s="4"/>
      <c r="AD12" s="6"/>
      <c r="AE12" s="6"/>
      <c r="AF12" s="6"/>
    </row>
    <row r="13" spans="1:34" ht="15" x14ac:dyDescent="0.25">
      <c r="A13" s="514">
        <v>27</v>
      </c>
      <c r="B13" s="515">
        <v>382300</v>
      </c>
      <c r="C13">
        <v>9</v>
      </c>
      <c r="D13">
        <v>0</v>
      </c>
      <c r="G13" s="6" t="s">
        <v>192</v>
      </c>
      <c r="H13" s="12"/>
      <c r="I13" s="12" t="s">
        <v>193</v>
      </c>
      <c r="J13" s="43">
        <f>IF(Registrering!$C$27="",0,IF(Registrering!$C$27=Tabeller!$G$6,Tabeller!J8,Tabeller!J10))</f>
        <v>428614.19999999995</v>
      </c>
      <c r="K13" s="43">
        <f>IF(Registrering!$C$27="",0,IF(Registrering!$C$27=Tabeller!$G$6,Tabeller!K8,Tabeller!K10))</f>
        <v>448094.71538999997</v>
      </c>
      <c r="L13" s="43">
        <f>IF(Registrering!$C$27="",0,IF(Registrering!$C$27=Tabeller!$G$6,Tabeller!L8,Tabeller!L10))</f>
        <v>468460.62020447548</v>
      </c>
      <c r="M13" s="43">
        <f>IF(Registrering!$C$27="",0,IF(Registrering!$C$27=Tabeller!$G$6,Tabeller!M8,Tabeller!M10))</f>
        <v>489752.15539276885</v>
      </c>
      <c r="N13" s="43">
        <f>IF(Registrering!$C$27="",0,IF(Registrering!$C$27=Tabeller!$G$6,Tabeller!N8,Tabeller!N10))</f>
        <v>0</v>
      </c>
      <c r="O13" s="43">
        <f>IF(Registrering!$C$27="",0,IF(Registrering!$C$27=Tabeller!$G$6,Tabeller!O8,Tabeller!O10))</f>
        <v>0</v>
      </c>
      <c r="P13" s="43">
        <f>IF(Registrering!$C$27="",0,IF(Registrering!$C$27=Tabeller!$G$6,Tabeller!P8,Tabeller!P10))</f>
        <v>0</v>
      </c>
      <c r="Q13" s="43">
        <f>IF(Registrering!$C$27="",0,IF(Registrering!$C$27=Tabeller!$G$6,Tabeller!Q8,Tabeller!Q10))</f>
        <v>0</v>
      </c>
      <c r="R13" s="43">
        <f>IF(Registrering!$C$27="",0,IF(Registrering!$C$27=Tabeller!$G$6,Tabeller!R8,Tabeller!R10))</f>
        <v>0</v>
      </c>
      <c r="S13" s="43">
        <f>IF(Registrering!$C$27="",0,IF(Registrering!$C$27=Tabeller!$G$6,Tabeller!S8,Tabeller!S10))</f>
        <v>0</v>
      </c>
      <c r="AC13" s="6"/>
      <c r="AD13" s="6"/>
      <c r="AE13" s="6"/>
      <c r="AF13" s="6"/>
    </row>
    <row r="14" spans="1:34" ht="15" x14ac:dyDescent="0.25">
      <c r="A14" s="514">
        <v>28</v>
      </c>
      <c r="B14" s="515">
        <v>386300</v>
      </c>
      <c r="C14">
        <v>10</v>
      </c>
      <c r="D14">
        <v>0</v>
      </c>
      <c r="I14" t="s">
        <v>194</v>
      </c>
      <c r="J14" s="43">
        <f>IF(Registrering!$C$27="",0,IF(Registrering!$C$27=Tabeller!$G$6,Tabeller!J9,Tabeller!J11))</f>
        <v>116988.9</v>
      </c>
      <c r="K14" s="43">
        <f>IF(Registrering!$C$27="",0,IF(Registrering!$C$27=Tabeller!$G$6,Tabeller!K9,Tabeller!K11))</f>
        <v>122306.04550499999</v>
      </c>
      <c r="L14" s="43">
        <f>IF(Registrering!$C$27="",0,IF(Registrering!$C$27=Tabeller!$G$6,Tabeller!L9,Tabeller!L11))</f>
        <v>127864.85527320224</v>
      </c>
      <c r="M14" s="43">
        <f>IF(Registrering!$C$27="",0,IF(Registrering!$C$27=Tabeller!$G$6,Tabeller!M9,Tabeller!M11))</f>
        <v>133676.31294536928</v>
      </c>
      <c r="N14" s="43">
        <f>IF(Registrering!$C$27="",0,IF(Registrering!$C$27=Tabeller!$G$6,Tabeller!N9,Tabeller!N11))</f>
        <v>0</v>
      </c>
      <c r="O14" s="43">
        <f>IF(Registrering!$C$27="",0,IF(Registrering!$C$27=Tabeller!$G$6,Tabeller!O9,Tabeller!O11))</f>
        <v>0</v>
      </c>
      <c r="P14" s="43">
        <f>IF(Registrering!$C$27="",0,IF(Registrering!$C$27=Tabeller!$G$6,Tabeller!P9,Tabeller!P11))</f>
        <v>0</v>
      </c>
      <c r="Q14" s="43">
        <f>IF(Registrering!$C$27="",0,IF(Registrering!$C$27=Tabeller!$G$6,Tabeller!Q9,Tabeller!Q11))</f>
        <v>0</v>
      </c>
      <c r="R14" s="43">
        <f>IF(Registrering!$C$27="",0,IF(Registrering!$C$27=Tabeller!$G$6,Tabeller!R9,Tabeller!R11))</f>
        <v>0</v>
      </c>
      <c r="S14" s="43">
        <f>IF(Registrering!$C$27="",0,IF(Registrering!$C$27=Tabeller!$G$6,Tabeller!S9,Tabeller!S11))</f>
        <v>0</v>
      </c>
      <c r="X14" s="12"/>
      <c r="Y14" s="12"/>
      <c r="Z14" s="12"/>
      <c r="AA14" s="6"/>
      <c r="AB14" s="12"/>
      <c r="AC14" s="12"/>
      <c r="AD14" s="6"/>
      <c r="AE14" s="6"/>
      <c r="AF14" s="6"/>
    </row>
    <row r="15" spans="1:34" ht="15" x14ac:dyDescent="0.25">
      <c r="A15" s="514">
        <v>29</v>
      </c>
      <c r="B15" s="515">
        <v>390100</v>
      </c>
      <c r="C15">
        <v>11</v>
      </c>
      <c r="D15">
        <v>0</v>
      </c>
      <c r="J15" s="165"/>
      <c r="W15" s="5" t="s">
        <v>353</v>
      </c>
      <c r="Z15" s="5" t="s">
        <v>354</v>
      </c>
      <c r="AA15" s="6"/>
      <c r="AB15" s="1"/>
      <c r="AC15" s="1"/>
      <c r="AD15" s="1"/>
      <c r="AE15" s="6"/>
      <c r="AF15" s="6"/>
    </row>
    <row r="16" spans="1:34" ht="21" x14ac:dyDescent="0.35">
      <c r="A16" s="514">
        <v>30</v>
      </c>
      <c r="B16" s="515">
        <v>394100</v>
      </c>
      <c r="C16">
        <v>12</v>
      </c>
      <c r="D16">
        <v>0</v>
      </c>
      <c r="F16" s="355"/>
      <c r="G16" s="379" t="s">
        <v>75</v>
      </c>
      <c r="H16" s="380"/>
      <c r="I16" s="380"/>
      <c r="J16" s="380"/>
      <c r="K16" s="380"/>
      <c r="L16" s="380"/>
      <c r="M16" s="380"/>
      <c r="N16" s="380"/>
      <c r="O16" s="356"/>
      <c r="W16" t="s">
        <v>7</v>
      </c>
      <c r="Z16" t="s">
        <v>355</v>
      </c>
      <c r="AB16" s="1"/>
      <c r="AC16" s="1"/>
      <c r="AD16" s="1"/>
      <c r="AE16" s="6"/>
      <c r="AF16" s="6"/>
    </row>
    <row r="17" spans="1:34" ht="15" x14ac:dyDescent="0.25">
      <c r="A17" s="514">
        <v>31</v>
      </c>
      <c r="B17" s="515">
        <v>397700</v>
      </c>
      <c r="C17">
        <v>13</v>
      </c>
      <c r="D17">
        <v>0</v>
      </c>
      <c r="F17" s="357"/>
      <c r="G17" s="381"/>
      <c r="H17" s="381"/>
      <c r="I17" s="381"/>
      <c r="J17" s="381"/>
      <c r="K17" s="381"/>
      <c r="L17" s="381"/>
      <c r="M17" s="381"/>
      <c r="N17" s="381"/>
      <c r="O17" s="359"/>
      <c r="W17" t="s">
        <v>8</v>
      </c>
      <c r="Z17" t="s">
        <v>259</v>
      </c>
      <c r="AE17" s="6"/>
      <c r="AF17" s="6"/>
    </row>
    <row r="18" spans="1:34" ht="15" x14ac:dyDescent="0.25">
      <c r="A18" s="514">
        <v>32</v>
      </c>
      <c r="B18" s="515">
        <v>401900</v>
      </c>
      <c r="C18">
        <v>14</v>
      </c>
      <c r="D18">
        <v>0</v>
      </c>
      <c r="F18" s="357"/>
      <c r="G18" s="381"/>
      <c r="H18" s="381"/>
      <c r="I18" s="381"/>
      <c r="J18" s="381"/>
      <c r="K18" s="381"/>
      <c r="L18" s="354" t="s">
        <v>44</v>
      </c>
      <c r="M18" s="381"/>
      <c r="N18" s="381"/>
      <c r="O18" s="359"/>
      <c r="S18" s="18"/>
      <c r="T18" s="18"/>
      <c r="U18" s="18"/>
      <c r="W18" t="s">
        <v>11</v>
      </c>
      <c r="Z18" t="s">
        <v>259</v>
      </c>
      <c r="AE18" s="6"/>
      <c r="AF18" s="6"/>
    </row>
    <row r="19" spans="1:34" ht="15" x14ac:dyDescent="0.25">
      <c r="A19" s="514">
        <v>33</v>
      </c>
      <c r="B19" s="515">
        <v>405800</v>
      </c>
      <c r="C19">
        <v>15</v>
      </c>
      <c r="D19">
        <v>0</v>
      </c>
      <c r="F19" s="357"/>
      <c r="G19" s="358"/>
      <c r="H19" s="358"/>
      <c r="I19" s="360"/>
      <c r="J19" s="360"/>
      <c r="K19" s="360"/>
      <c r="L19" s="360" t="s">
        <v>33</v>
      </c>
      <c r="M19" s="382" t="s">
        <v>111</v>
      </c>
      <c r="N19" s="354"/>
      <c r="O19" s="359"/>
      <c r="P19" s="4"/>
      <c r="Q19" s="4"/>
      <c r="R19" s="4"/>
      <c r="S19" s="1"/>
      <c r="T19" s="1"/>
      <c r="U19" s="1"/>
      <c r="W19" t="s">
        <v>179</v>
      </c>
      <c r="Z19" t="s">
        <v>259</v>
      </c>
    </row>
    <row r="20" spans="1:34" ht="15" x14ac:dyDescent="0.25">
      <c r="A20" s="514">
        <v>34</v>
      </c>
      <c r="B20" s="515">
        <v>410000</v>
      </c>
      <c r="C20">
        <v>16</v>
      </c>
      <c r="D20">
        <v>0</v>
      </c>
      <c r="F20" s="357"/>
      <c r="G20" s="361" t="s">
        <v>34</v>
      </c>
      <c r="H20" s="362" t="s">
        <v>35</v>
      </c>
      <c r="I20" s="363" t="s">
        <v>36</v>
      </c>
      <c r="J20" s="364" t="s">
        <v>37</v>
      </c>
      <c r="K20" s="362" t="s">
        <v>38</v>
      </c>
      <c r="L20" s="364" t="s">
        <v>37</v>
      </c>
      <c r="M20" s="354"/>
      <c r="N20" s="381"/>
      <c r="O20" s="359"/>
      <c r="P20" s="4"/>
      <c r="Q20" s="4"/>
      <c r="R20" s="4"/>
      <c r="S20" s="6"/>
      <c r="T20" s="6"/>
      <c r="U20" s="6"/>
      <c r="W20" t="s">
        <v>20</v>
      </c>
      <c r="Z20" t="s">
        <v>259</v>
      </c>
    </row>
    <row r="21" spans="1:34" ht="15" x14ac:dyDescent="0.25">
      <c r="A21" s="514">
        <v>35</v>
      </c>
      <c r="B21" s="515">
        <v>414200</v>
      </c>
      <c r="C21">
        <v>17</v>
      </c>
      <c r="D21">
        <v>0</v>
      </c>
      <c r="F21" s="357"/>
      <c r="G21" s="365" t="s">
        <v>39</v>
      </c>
      <c r="H21" s="366">
        <v>45</v>
      </c>
      <c r="I21" s="365"/>
      <c r="J21" s="366"/>
      <c r="K21" s="375">
        <v>414600</v>
      </c>
      <c r="L21" s="366"/>
      <c r="M21" s="420"/>
      <c r="N21" s="354"/>
      <c r="O21" s="359"/>
      <c r="P21" s="4"/>
      <c r="Q21" s="4"/>
      <c r="R21" s="4"/>
      <c r="S21" s="18"/>
      <c r="T21" s="18"/>
      <c r="U21" s="18"/>
      <c r="W21" t="s">
        <v>16</v>
      </c>
      <c r="Z21" t="s">
        <v>293</v>
      </c>
      <c r="AE21" s="6"/>
      <c r="AF21" s="6"/>
    </row>
    <row r="22" spans="1:34" ht="15" x14ac:dyDescent="0.25">
      <c r="A22" s="514">
        <v>36</v>
      </c>
      <c r="B22" s="515">
        <v>418500</v>
      </c>
      <c r="C22">
        <v>18</v>
      </c>
      <c r="D22">
        <v>0</v>
      </c>
      <c r="F22" s="357"/>
      <c r="G22" s="421"/>
      <c r="H22" s="366"/>
      <c r="I22" s="365"/>
      <c r="J22" s="366"/>
      <c r="K22" s="366"/>
      <c r="L22" s="366"/>
      <c r="M22" s="420"/>
      <c r="N22" s="354"/>
      <c r="O22" s="359"/>
      <c r="P22" s="4"/>
      <c r="Q22" s="4"/>
      <c r="R22" s="4"/>
      <c r="S22" s="1"/>
      <c r="T22" s="1"/>
      <c r="U22" s="1"/>
      <c r="W22" t="s">
        <v>9</v>
      </c>
      <c r="Z22" t="s">
        <v>292</v>
      </c>
      <c r="AE22" s="6"/>
      <c r="AF22" s="6"/>
    </row>
    <row r="23" spans="1:34" ht="15" x14ac:dyDescent="0.25">
      <c r="A23" s="514">
        <v>37</v>
      </c>
      <c r="B23" s="515">
        <v>423300</v>
      </c>
      <c r="C23" s="6">
        <v>19</v>
      </c>
      <c r="D23">
        <v>151.74358974358975</v>
      </c>
      <c r="F23" s="357"/>
      <c r="G23" s="365" t="s">
        <v>40</v>
      </c>
      <c r="H23" s="365">
        <v>0</v>
      </c>
      <c r="I23" s="365" t="s">
        <v>41</v>
      </c>
      <c r="J23" s="366">
        <v>0</v>
      </c>
      <c r="K23" s="367">
        <v>374373.07692307694</v>
      </c>
      <c r="L23" s="368">
        <v>0.90297413633158929</v>
      </c>
      <c r="M23" s="368">
        <v>0.8987222778829147</v>
      </c>
      <c r="N23" s="354"/>
      <c r="O23" s="359"/>
      <c r="P23" s="4"/>
      <c r="Q23" s="4"/>
      <c r="R23" s="4"/>
      <c r="S23" s="14"/>
      <c r="T23" s="14"/>
      <c r="U23" s="14"/>
      <c r="W23" t="s">
        <v>120</v>
      </c>
      <c r="Z23" t="s">
        <v>260</v>
      </c>
      <c r="AE23" s="6"/>
      <c r="AF23" s="6"/>
    </row>
    <row r="24" spans="1:34" ht="15" x14ac:dyDescent="0.25">
      <c r="A24" s="514">
        <v>38</v>
      </c>
      <c r="B24" s="515">
        <v>428100</v>
      </c>
      <c r="C24">
        <v>20</v>
      </c>
      <c r="D24">
        <v>153.53846153846155</v>
      </c>
      <c r="F24" s="357"/>
      <c r="G24" s="365" t="s">
        <v>42</v>
      </c>
      <c r="H24" s="369">
        <v>0.12</v>
      </c>
      <c r="I24" s="370">
        <v>0.88</v>
      </c>
      <c r="J24" s="371">
        <v>0.12000000000000001</v>
      </c>
      <c r="K24" s="372">
        <v>44924.769230769234</v>
      </c>
      <c r="L24" s="368">
        <v>0.10835689635979072</v>
      </c>
      <c r="M24" s="368">
        <v>0.10784667334594975</v>
      </c>
      <c r="N24" s="354"/>
      <c r="O24" s="359"/>
      <c r="P24" s="4"/>
      <c r="Q24" s="4"/>
      <c r="R24" s="4"/>
      <c r="S24" s="1"/>
      <c r="T24" s="1"/>
      <c r="U24" s="1"/>
      <c r="AE24" s="6"/>
      <c r="AF24" s="6"/>
    </row>
    <row r="25" spans="1:34" ht="15" x14ac:dyDescent="0.25">
      <c r="A25" s="514">
        <v>39</v>
      </c>
      <c r="B25" s="515">
        <v>432800</v>
      </c>
      <c r="C25">
        <v>21</v>
      </c>
      <c r="D25">
        <v>155.43589743589743</v>
      </c>
      <c r="F25" s="357"/>
      <c r="G25" s="365" t="s">
        <v>28</v>
      </c>
      <c r="H25" s="373">
        <v>0.13300000000000001</v>
      </c>
      <c r="I25" s="370">
        <v>0.85285106382978726</v>
      </c>
      <c r="J25" s="371">
        <v>0.14714893617021277</v>
      </c>
      <c r="K25" s="372">
        <v>55088.6</v>
      </c>
      <c r="L25" s="368">
        <v>0.13287168355041004</v>
      </c>
      <c r="M25" s="368">
        <v>0.13128895320791123</v>
      </c>
      <c r="N25" s="354"/>
      <c r="O25" s="359"/>
      <c r="P25" s="4"/>
      <c r="Q25" s="4"/>
      <c r="R25" s="4"/>
      <c r="S25" s="18"/>
      <c r="T25" s="18"/>
      <c r="U25" s="18"/>
      <c r="AE25" s="6"/>
      <c r="AF25" s="6"/>
      <c r="AH25" s="5"/>
    </row>
    <row r="26" spans="1:34" ht="15" x14ac:dyDescent="0.25">
      <c r="A26" s="514">
        <v>40</v>
      </c>
      <c r="B26" s="515">
        <v>437900</v>
      </c>
      <c r="C26">
        <v>22</v>
      </c>
      <c r="D26">
        <v>157.28205128205127</v>
      </c>
      <c r="F26" s="357"/>
      <c r="G26" s="365" t="s">
        <v>43</v>
      </c>
      <c r="H26" s="374">
        <v>0.14099999999999999</v>
      </c>
      <c r="I26" s="370">
        <v>0.82133199999999995</v>
      </c>
      <c r="J26" s="371">
        <v>0.17866800000000002</v>
      </c>
      <c r="K26" s="372">
        <v>66888.488907692314</v>
      </c>
      <c r="L26" s="368">
        <v>0.1613325829900924</v>
      </c>
      <c r="M26" s="368">
        <v>0.16043796452558531</v>
      </c>
      <c r="N26" s="354"/>
      <c r="O26" s="359"/>
      <c r="P26" s="4"/>
      <c r="Q26" s="4"/>
      <c r="R26" s="4"/>
      <c r="S26" s="2"/>
      <c r="T26" s="2"/>
      <c r="U26" s="2"/>
      <c r="AB26" s="6"/>
      <c r="AC26" s="6"/>
      <c r="AD26" s="6"/>
      <c r="AE26" s="6"/>
      <c r="AF26" s="6"/>
      <c r="AH26" s="5"/>
    </row>
    <row r="27" spans="1:34" ht="15" x14ac:dyDescent="0.25">
      <c r="A27" s="514">
        <v>41</v>
      </c>
      <c r="B27" s="515">
        <v>443000</v>
      </c>
      <c r="C27">
        <v>23</v>
      </c>
      <c r="D27">
        <v>159.23076923076923</v>
      </c>
      <c r="F27" s="357"/>
      <c r="G27" s="365"/>
      <c r="H27" s="370"/>
      <c r="I27" s="365" t="s">
        <v>0</v>
      </c>
      <c r="J27" s="368">
        <v>0.44581693617021279</v>
      </c>
      <c r="K27" s="375">
        <v>541274.93506153848</v>
      </c>
      <c r="L27" s="368"/>
      <c r="M27" s="420"/>
      <c r="N27" s="354"/>
      <c r="O27" s="359"/>
      <c r="P27" s="4"/>
      <c r="Q27" s="4"/>
      <c r="R27" s="4"/>
      <c r="AE27" s="6"/>
      <c r="AF27" s="6"/>
      <c r="AH27" s="5"/>
    </row>
    <row r="28" spans="1:34" ht="15" x14ac:dyDescent="0.25">
      <c r="A28" s="514">
        <v>42</v>
      </c>
      <c r="B28" s="515">
        <v>448900</v>
      </c>
      <c r="C28">
        <v>24</v>
      </c>
      <c r="D28">
        <v>161.23076923076923</v>
      </c>
      <c r="F28" s="357"/>
      <c r="G28" s="381"/>
      <c r="H28" s="381"/>
      <c r="I28" s="381"/>
      <c r="J28" s="381"/>
      <c r="K28" s="381"/>
      <c r="L28" s="381"/>
      <c r="M28" s="381"/>
      <c r="N28" s="381"/>
      <c r="O28" s="359"/>
      <c r="AE28" s="6"/>
      <c r="AF28" s="6"/>
      <c r="AH28" s="5"/>
    </row>
    <row r="29" spans="1:34" ht="15" x14ac:dyDescent="0.25">
      <c r="A29" s="514">
        <v>43</v>
      </c>
      <c r="B29" s="515">
        <v>454500</v>
      </c>
      <c r="C29">
        <v>25</v>
      </c>
      <c r="D29">
        <v>163.33333333333334</v>
      </c>
      <c r="F29" s="376"/>
      <c r="G29" s="377"/>
      <c r="H29" s="377"/>
      <c r="I29" s="377"/>
      <c r="J29" s="377"/>
      <c r="K29" s="377"/>
      <c r="L29" s="377"/>
      <c r="M29" s="377"/>
      <c r="N29" s="377"/>
      <c r="O29" s="378"/>
      <c r="AE29" s="6"/>
      <c r="AF29" s="6"/>
      <c r="AH29" s="5"/>
    </row>
    <row r="30" spans="1:34" ht="15" x14ac:dyDescent="0.25">
      <c r="A30" s="514">
        <v>44</v>
      </c>
      <c r="B30" s="515">
        <v>460600</v>
      </c>
      <c r="C30">
        <v>26</v>
      </c>
      <c r="D30">
        <v>165.43589743589743</v>
      </c>
      <c r="H30" s="153" t="s">
        <v>170</v>
      </c>
      <c r="I30" s="422">
        <v>2023</v>
      </c>
      <c r="J30" s="155">
        <v>0</v>
      </c>
      <c r="K30" s="154">
        <f>I30+1</f>
        <v>2024</v>
      </c>
      <c r="L30" s="155">
        <v>2.4E-2</v>
      </c>
      <c r="M30" s="154">
        <v>2014</v>
      </c>
      <c r="N30" s="155">
        <v>0</v>
      </c>
      <c r="O30" s="156" t="s">
        <v>171</v>
      </c>
      <c r="P30" s="155">
        <v>0</v>
      </c>
      <c r="AE30" s="6"/>
      <c r="AF30" s="6"/>
      <c r="AH30" s="5"/>
    </row>
    <row r="31" spans="1:34" ht="15" x14ac:dyDescent="0.25">
      <c r="A31" s="514">
        <v>45</v>
      </c>
      <c r="B31" s="515">
        <v>466600</v>
      </c>
      <c r="C31">
        <v>27</v>
      </c>
      <c r="D31">
        <v>167.43589743589743</v>
      </c>
      <c r="AE31" s="6"/>
      <c r="AF31" s="6"/>
      <c r="AH31" s="5"/>
    </row>
    <row r="32" spans="1:34" ht="15" x14ac:dyDescent="0.25">
      <c r="A32" s="514">
        <v>46</v>
      </c>
      <c r="B32" s="515">
        <v>472900</v>
      </c>
      <c r="C32">
        <v>28</v>
      </c>
      <c r="D32">
        <v>169.43589743589743</v>
      </c>
      <c r="I32" s="17" t="str">
        <f>J5</f>
        <v>Periode 1 (1-18 month)</v>
      </c>
      <c r="J32" s="17" t="str">
        <f t="shared" ref="J32:R32" si="0">K5</f>
        <v>Periode 2 (19-36 month)</v>
      </c>
      <c r="K32" s="17" t="str">
        <f t="shared" si="0"/>
        <v>Periode 3 (37-54 month)</v>
      </c>
      <c r="L32" s="17" t="str">
        <f t="shared" si="0"/>
        <v>Periode 4 (55-60 (72) month)</v>
      </c>
      <c r="M32" s="17" t="e">
        <f t="shared" si="0"/>
        <v>#REF!</v>
      </c>
      <c r="N32" s="17" t="e">
        <f t="shared" si="0"/>
        <v>#REF!</v>
      </c>
      <c r="O32" s="17" t="e">
        <f t="shared" si="0"/>
        <v>#REF!</v>
      </c>
      <c r="P32" s="17" t="e">
        <f t="shared" si="0"/>
        <v>#REF!</v>
      </c>
      <c r="Q32" s="17" t="e">
        <f t="shared" si="0"/>
        <v>#REF!</v>
      </c>
      <c r="R32" s="17" t="e">
        <f t="shared" si="0"/>
        <v>#REF!</v>
      </c>
      <c r="AE32" s="6"/>
      <c r="AF32" s="6"/>
    </row>
    <row r="33" spans="1:32" ht="15" x14ac:dyDescent="0.25">
      <c r="A33" s="514">
        <v>47</v>
      </c>
      <c r="B33" s="515">
        <v>480900</v>
      </c>
      <c r="C33">
        <v>29</v>
      </c>
      <c r="D33">
        <v>171.33333333333334</v>
      </c>
      <c r="G33" s="13" t="s">
        <v>45</v>
      </c>
      <c r="H33" s="1"/>
      <c r="I33" s="18">
        <f>I34</f>
        <v>1.0149999999999999</v>
      </c>
      <c r="J33" s="18">
        <f>IF(Registrering!$C29="Ja",I34*$J34,I35)</f>
        <v>1.0611317499999999</v>
      </c>
      <c r="K33" s="18">
        <f>IF(Registrering!$C29="Ja",J33*$J34,J33)</f>
        <v>1.1093601880374999</v>
      </c>
      <c r="L33" s="18">
        <f>IF(Registrering!$C29="Ja",K33*$J34,K33)</f>
        <v>1.1597806085838043</v>
      </c>
      <c r="M33" s="18">
        <f>IF(Registrering!$C29="Ja",L33*$J34,L33)</f>
        <v>1.2124926372439382</v>
      </c>
      <c r="N33" s="18">
        <f>IF(Registrering!$C29="Ja",M33*$J34,M33)</f>
        <v>1.2676004276066752</v>
      </c>
      <c r="O33" s="18">
        <f>IF(Registrering!$C29="Ja",N33*$J34,N33)</f>
        <v>1.3252128670413985</v>
      </c>
      <c r="P33" s="18">
        <f>IF(Registrering!$C29="Ja",O33*$J34,O33)</f>
        <v>1.3854437918484301</v>
      </c>
      <c r="Q33" s="18">
        <f>IF(Registrering!$C29="Ja",P33*$J34,P33)</f>
        <v>1.4484122121879413</v>
      </c>
      <c r="R33" s="18">
        <f>IF(Registrering!$C29="Ja",Q33*$J34,Q33)</f>
        <v>1.5142425472318832</v>
      </c>
      <c r="AA33" s="6"/>
      <c r="AB33" s="6"/>
      <c r="AC33" s="6"/>
      <c r="AD33" s="6"/>
      <c r="AE33" s="6"/>
      <c r="AF33" s="6"/>
    </row>
    <row r="34" spans="1:32" ht="15" x14ac:dyDescent="0.25">
      <c r="A34" s="514">
        <v>48</v>
      </c>
      <c r="B34" s="515">
        <v>487800</v>
      </c>
      <c r="C34">
        <v>30</v>
      </c>
      <c r="D34">
        <v>173.33333333333334</v>
      </c>
      <c r="G34" s="13"/>
      <c r="H34" s="1"/>
      <c r="I34" s="19">
        <f>(1*Registrering!D29+1)*1.015</f>
        <v>1.0149999999999999</v>
      </c>
      <c r="J34" s="19">
        <f>(1*Registrering!E29+1)*1.015</f>
        <v>1.04545</v>
      </c>
      <c r="K34" s="1"/>
      <c r="L34" s="1"/>
      <c r="M34" s="1"/>
      <c r="N34" s="1"/>
      <c r="O34" s="1"/>
      <c r="P34" s="1"/>
      <c r="Q34" s="1"/>
      <c r="R34" s="1"/>
      <c r="AA34" s="6"/>
      <c r="AB34" s="6"/>
      <c r="AC34" s="6"/>
      <c r="AD34" s="6"/>
      <c r="AE34" s="6"/>
      <c r="AF34" s="6"/>
    </row>
    <row r="35" spans="1:32" ht="15" x14ac:dyDescent="0.25">
      <c r="A35" s="514">
        <v>49</v>
      </c>
      <c r="B35" s="515">
        <v>495200</v>
      </c>
      <c r="C35">
        <v>31</v>
      </c>
      <c r="D35">
        <v>175.17948717948718</v>
      </c>
      <c r="G35" s="6"/>
      <c r="H35" s="6"/>
      <c r="I35" s="18">
        <v>1</v>
      </c>
      <c r="J35" s="6"/>
      <c r="K35" s="6"/>
      <c r="L35" s="6"/>
      <c r="M35" s="6"/>
      <c r="N35" s="6"/>
      <c r="O35" s="6"/>
      <c r="P35" s="6"/>
      <c r="Q35" s="6"/>
      <c r="R35" s="6"/>
      <c r="AA35" s="6"/>
      <c r="AB35" s="6"/>
      <c r="AC35" s="6"/>
      <c r="AD35" s="6"/>
      <c r="AE35" s="6"/>
      <c r="AF35" s="6"/>
    </row>
    <row r="36" spans="1:32" ht="15" x14ac:dyDescent="0.25">
      <c r="A36" s="514">
        <v>50</v>
      </c>
      <c r="B36" s="515">
        <v>502300</v>
      </c>
      <c r="C36">
        <v>32</v>
      </c>
      <c r="D36">
        <v>177.23076923076923</v>
      </c>
      <c r="G36" s="18"/>
      <c r="H36" s="157"/>
      <c r="J36" s="18"/>
      <c r="K36" s="18"/>
      <c r="L36" s="18"/>
      <c r="M36" s="18"/>
      <c r="N36" s="18"/>
      <c r="O36" s="18"/>
      <c r="P36" s="18"/>
      <c r="Q36" s="18"/>
      <c r="R36" s="18"/>
    </row>
    <row r="37" spans="1:32" ht="15" x14ac:dyDescent="0.25">
      <c r="A37" s="514">
        <v>51</v>
      </c>
      <c r="B37" s="515">
        <v>509300</v>
      </c>
      <c r="C37">
        <v>33</v>
      </c>
      <c r="D37">
        <v>179.17948717948718</v>
      </c>
      <c r="G37" s="13"/>
      <c r="H37" s="1"/>
      <c r="I37" s="1"/>
      <c r="J37" s="1"/>
      <c r="K37" s="1"/>
      <c r="L37" s="1"/>
      <c r="M37" s="1"/>
      <c r="N37" s="1"/>
      <c r="O37" s="1"/>
      <c r="P37" s="1"/>
      <c r="Q37" s="1"/>
      <c r="R37" s="1"/>
    </row>
    <row r="38" spans="1:32" ht="15" x14ac:dyDescent="0.25">
      <c r="A38" s="514">
        <v>52</v>
      </c>
      <c r="B38" s="515">
        <v>516800</v>
      </c>
      <c r="C38">
        <v>34</v>
      </c>
      <c r="D38">
        <v>181.28205128205127</v>
      </c>
      <c r="K38" s="14"/>
      <c r="L38" s="14"/>
      <c r="M38" s="14"/>
      <c r="N38" s="14"/>
      <c r="O38" s="14"/>
      <c r="P38" s="14"/>
      <c r="Q38" s="14"/>
      <c r="R38" s="14"/>
    </row>
    <row r="39" spans="1:32" ht="15" x14ac:dyDescent="0.25">
      <c r="A39" s="514">
        <v>53</v>
      </c>
      <c r="B39" s="515">
        <v>524700</v>
      </c>
      <c r="C39">
        <v>35</v>
      </c>
      <c r="D39">
        <v>183.38461538461539</v>
      </c>
      <c r="K39" s="285"/>
      <c r="L39" s="1"/>
      <c r="M39" s="1"/>
      <c r="N39" s="1"/>
      <c r="O39" s="1"/>
      <c r="P39" s="1"/>
      <c r="Q39" s="1"/>
      <c r="R39" s="1"/>
    </row>
    <row r="40" spans="1:32" ht="15" x14ac:dyDescent="0.25">
      <c r="A40" s="514">
        <v>54</v>
      </c>
      <c r="B40" s="515">
        <v>532200</v>
      </c>
      <c r="C40">
        <v>36</v>
      </c>
      <c r="D40">
        <v>185.53846153846155</v>
      </c>
      <c r="G40" s="13"/>
      <c r="H40" s="13"/>
      <c r="I40" s="13"/>
      <c r="J40" s="13"/>
      <c r="K40" s="13"/>
      <c r="L40" s="13"/>
      <c r="M40" s="13"/>
      <c r="N40" s="13"/>
      <c r="O40" s="13"/>
      <c r="P40" s="13"/>
      <c r="Q40" s="13"/>
      <c r="R40" s="13"/>
    </row>
    <row r="41" spans="1:32" ht="15" x14ac:dyDescent="0.25">
      <c r="A41" s="514">
        <v>55</v>
      </c>
      <c r="B41" s="515">
        <v>540500</v>
      </c>
      <c r="C41">
        <v>37</v>
      </c>
      <c r="D41">
        <v>187.89743589743588</v>
      </c>
      <c r="G41" s="1"/>
      <c r="H41" s="1"/>
      <c r="I41" s="1"/>
      <c r="J41" s="1"/>
      <c r="K41" s="1"/>
      <c r="L41" s="1"/>
      <c r="M41" s="1"/>
      <c r="N41" s="1"/>
      <c r="O41" s="1"/>
      <c r="P41" s="1"/>
      <c r="Q41" s="1"/>
      <c r="R41" s="1"/>
    </row>
    <row r="42" spans="1:32" ht="15" x14ac:dyDescent="0.25">
      <c r="A42" s="514">
        <v>56</v>
      </c>
      <c r="B42" s="515">
        <v>548600</v>
      </c>
      <c r="C42">
        <v>38</v>
      </c>
      <c r="D42">
        <v>190.30769230769232</v>
      </c>
      <c r="G42" t="s">
        <v>6</v>
      </c>
      <c r="H42" t="s">
        <v>6</v>
      </c>
    </row>
    <row r="43" spans="1:32" ht="15" x14ac:dyDescent="0.25">
      <c r="A43" s="514">
        <v>57</v>
      </c>
      <c r="B43" s="515">
        <v>557100</v>
      </c>
      <c r="C43">
        <v>39</v>
      </c>
      <c r="D43">
        <v>192.66666666666666</v>
      </c>
      <c r="G43" t="s">
        <v>173</v>
      </c>
      <c r="H43" s="5" t="s">
        <v>225</v>
      </c>
    </row>
    <row r="44" spans="1:32" ht="15" x14ac:dyDescent="0.25">
      <c r="A44" s="514">
        <v>58</v>
      </c>
      <c r="B44" s="515">
        <v>565900</v>
      </c>
      <c r="C44">
        <v>40</v>
      </c>
      <c r="D44">
        <v>195.23076923076923</v>
      </c>
      <c r="G44" t="s">
        <v>174</v>
      </c>
    </row>
    <row r="45" spans="1:32" ht="15" x14ac:dyDescent="0.25">
      <c r="A45" s="514">
        <v>59</v>
      </c>
      <c r="B45" s="515">
        <v>575400</v>
      </c>
      <c r="C45">
        <v>41</v>
      </c>
      <c r="D45">
        <v>197.7948717948718</v>
      </c>
      <c r="G45" t="s">
        <v>176</v>
      </c>
    </row>
    <row r="46" spans="1:32" ht="15" x14ac:dyDescent="0.25">
      <c r="A46" s="514">
        <v>60</v>
      </c>
      <c r="B46" s="515">
        <v>584500</v>
      </c>
      <c r="C46">
        <v>42</v>
      </c>
      <c r="D46">
        <v>200.71794871794873</v>
      </c>
      <c r="G46" t="s">
        <v>175</v>
      </c>
    </row>
    <row r="47" spans="1:32" ht="15" x14ac:dyDescent="0.25">
      <c r="A47" s="514">
        <v>61</v>
      </c>
      <c r="B47" s="515">
        <v>594500</v>
      </c>
      <c r="C47">
        <v>43</v>
      </c>
      <c r="D47">
        <v>203.48717948717947</v>
      </c>
      <c r="G47" t="s">
        <v>225</v>
      </c>
    </row>
    <row r="48" spans="1:32" ht="15" x14ac:dyDescent="0.25">
      <c r="A48" s="514">
        <v>62</v>
      </c>
      <c r="B48" s="515">
        <v>604900</v>
      </c>
      <c r="C48">
        <v>44</v>
      </c>
      <c r="D48">
        <v>206.56410256410257</v>
      </c>
    </row>
    <row r="49" spans="1:4" ht="15" x14ac:dyDescent="0.25">
      <c r="A49" s="514">
        <v>63</v>
      </c>
      <c r="B49" s="515">
        <v>615700</v>
      </c>
      <c r="C49">
        <v>45</v>
      </c>
      <c r="D49">
        <v>209.58974358974359</v>
      </c>
    </row>
    <row r="50" spans="1:4" ht="15" x14ac:dyDescent="0.25">
      <c r="A50" s="514">
        <v>64</v>
      </c>
      <c r="B50" s="515">
        <v>624500</v>
      </c>
      <c r="C50">
        <v>46</v>
      </c>
      <c r="D50">
        <v>212.66666666666666</v>
      </c>
    </row>
    <row r="51" spans="1:4" ht="15" x14ac:dyDescent="0.25">
      <c r="A51" s="514">
        <v>65</v>
      </c>
      <c r="B51" s="515">
        <v>635400</v>
      </c>
      <c r="C51">
        <v>47</v>
      </c>
      <c r="D51">
        <v>216.05128205128204</v>
      </c>
    </row>
    <row r="52" spans="1:4" ht="15" x14ac:dyDescent="0.25">
      <c r="A52" s="514">
        <v>66</v>
      </c>
      <c r="B52" s="515">
        <v>646000</v>
      </c>
      <c r="C52">
        <v>48</v>
      </c>
      <c r="D52">
        <v>219.53846153846155</v>
      </c>
    </row>
    <row r="53" spans="1:4" ht="15" x14ac:dyDescent="0.25">
      <c r="A53" s="514">
        <v>67</v>
      </c>
      <c r="B53" s="515">
        <v>657300</v>
      </c>
      <c r="C53">
        <v>49</v>
      </c>
      <c r="D53">
        <v>223.12820512820514</v>
      </c>
    </row>
    <row r="54" spans="1:4" ht="15" x14ac:dyDescent="0.25">
      <c r="A54" s="514">
        <v>68</v>
      </c>
      <c r="B54" s="515">
        <v>667700</v>
      </c>
      <c r="C54">
        <v>50</v>
      </c>
      <c r="D54">
        <v>226.66666666666666</v>
      </c>
    </row>
    <row r="55" spans="1:4" ht="15" x14ac:dyDescent="0.25">
      <c r="A55" s="514">
        <v>69</v>
      </c>
      <c r="B55" s="515">
        <v>679700</v>
      </c>
      <c r="C55">
        <v>51</v>
      </c>
      <c r="D55">
        <v>230.25641025641025</v>
      </c>
    </row>
    <row r="56" spans="1:4" ht="15" x14ac:dyDescent="0.25">
      <c r="A56" s="514">
        <v>70</v>
      </c>
      <c r="B56" s="515">
        <v>692400</v>
      </c>
      <c r="C56">
        <v>52</v>
      </c>
      <c r="D56">
        <v>234.10256410256412</v>
      </c>
    </row>
    <row r="57" spans="1:4" ht="15" x14ac:dyDescent="0.25">
      <c r="A57" s="514">
        <v>71</v>
      </c>
      <c r="B57" s="515">
        <v>708000</v>
      </c>
      <c r="C57">
        <v>53</v>
      </c>
      <c r="D57">
        <v>238.15384615384616</v>
      </c>
    </row>
    <row r="58" spans="1:4" ht="15" x14ac:dyDescent="0.25">
      <c r="A58" s="514">
        <v>72</v>
      </c>
      <c r="B58" s="515">
        <v>720100</v>
      </c>
      <c r="C58">
        <v>54</v>
      </c>
      <c r="D58">
        <v>242</v>
      </c>
    </row>
    <row r="59" spans="1:4" ht="15" x14ac:dyDescent="0.25">
      <c r="A59" s="514">
        <v>73</v>
      </c>
      <c r="B59" s="515">
        <v>732300</v>
      </c>
      <c r="C59">
        <v>55</v>
      </c>
      <c r="D59">
        <v>246.25641025641025</v>
      </c>
    </row>
    <row r="60" spans="1:4" ht="15" x14ac:dyDescent="0.25">
      <c r="A60" s="514">
        <v>74</v>
      </c>
      <c r="B60" s="515">
        <v>745000</v>
      </c>
      <c r="C60">
        <v>56</v>
      </c>
      <c r="D60">
        <v>250.30769230769232</v>
      </c>
    </row>
    <row r="61" spans="1:4" ht="15" x14ac:dyDescent="0.25">
      <c r="A61" s="514">
        <v>75</v>
      </c>
      <c r="B61" s="515">
        <v>759100</v>
      </c>
      <c r="C61">
        <v>57</v>
      </c>
      <c r="D61">
        <v>254.66666666666666</v>
      </c>
    </row>
    <row r="62" spans="1:4" ht="15" x14ac:dyDescent="0.25">
      <c r="A62" s="514">
        <v>76</v>
      </c>
      <c r="B62" s="515">
        <v>777900</v>
      </c>
      <c r="C62">
        <v>58</v>
      </c>
      <c r="D62">
        <v>259.17948717948718</v>
      </c>
    </row>
    <row r="63" spans="1:4" ht="15" x14ac:dyDescent="0.25">
      <c r="A63" s="514">
        <v>77</v>
      </c>
      <c r="B63" s="515">
        <v>796600</v>
      </c>
      <c r="C63">
        <v>59</v>
      </c>
      <c r="D63">
        <v>264</v>
      </c>
    </row>
    <row r="64" spans="1:4" ht="15" x14ac:dyDescent="0.25">
      <c r="A64" s="514">
        <v>78</v>
      </c>
      <c r="B64" s="515">
        <v>821100</v>
      </c>
      <c r="C64">
        <v>60</v>
      </c>
      <c r="D64">
        <v>268.61538461538464</v>
      </c>
    </row>
    <row r="65" spans="1:4" ht="15" x14ac:dyDescent="0.25">
      <c r="A65" s="514">
        <v>79</v>
      </c>
      <c r="B65" s="515">
        <v>845900</v>
      </c>
      <c r="C65">
        <v>61</v>
      </c>
      <c r="D65">
        <v>273.69230769230768</v>
      </c>
    </row>
    <row r="66" spans="1:4" ht="15" x14ac:dyDescent="0.25">
      <c r="A66" s="514">
        <v>80</v>
      </c>
      <c r="B66" s="515">
        <v>870900</v>
      </c>
      <c r="C66">
        <v>62</v>
      </c>
      <c r="D66">
        <v>278.97435897435895</v>
      </c>
    </row>
    <row r="67" spans="1:4" ht="15" x14ac:dyDescent="0.25">
      <c r="A67" s="514">
        <v>81</v>
      </c>
      <c r="B67" s="515">
        <v>895500</v>
      </c>
      <c r="C67">
        <v>63</v>
      </c>
      <c r="D67">
        <v>284.46153846153845</v>
      </c>
    </row>
    <row r="68" spans="1:4" ht="15" x14ac:dyDescent="0.25">
      <c r="A68" s="514">
        <v>82</v>
      </c>
      <c r="B68" s="515">
        <v>919200</v>
      </c>
      <c r="C68">
        <v>64</v>
      </c>
      <c r="D68">
        <v>289.79487179487177</v>
      </c>
    </row>
    <row r="69" spans="1:4" ht="15" x14ac:dyDescent="0.25">
      <c r="A69" s="514">
        <v>83</v>
      </c>
      <c r="B69" s="515">
        <v>942700</v>
      </c>
      <c r="C69">
        <v>65</v>
      </c>
      <c r="D69">
        <v>295.23076923076923</v>
      </c>
    </row>
    <row r="70" spans="1:4" ht="15" x14ac:dyDescent="0.25">
      <c r="A70" s="514">
        <v>84</v>
      </c>
      <c r="B70" s="515">
        <v>966300</v>
      </c>
      <c r="C70">
        <v>66</v>
      </c>
      <c r="D70">
        <v>300.56410256410254</v>
      </c>
    </row>
    <row r="71" spans="1:4" ht="15" x14ac:dyDescent="0.25">
      <c r="A71" s="514">
        <v>85</v>
      </c>
      <c r="B71" s="515">
        <v>996000</v>
      </c>
      <c r="C71">
        <v>67</v>
      </c>
      <c r="D71">
        <v>306.15384615384613</v>
      </c>
    </row>
    <row r="72" spans="1:4" ht="15" x14ac:dyDescent="0.25">
      <c r="A72" s="514">
        <v>86</v>
      </c>
      <c r="B72" s="515">
        <v>1025200</v>
      </c>
      <c r="C72">
        <v>68</v>
      </c>
      <c r="D72">
        <v>311.43589743589746</v>
      </c>
    </row>
    <row r="73" spans="1:4" ht="15" x14ac:dyDescent="0.25">
      <c r="A73" s="514">
        <v>87</v>
      </c>
      <c r="B73" s="515">
        <v>1055200</v>
      </c>
      <c r="C73">
        <v>69</v>
      </c>
      <c r="D73">
        <v>317.38461538461536</v>
      </c>
    </row>
    <row r="74" spans="1:4" ht="15" x14ac:dyDescent="0.25">
      <c r="A74" s="514">
        <v>88</v>
      </c>
      <c r="B74" s="515">
        <v>1078600</v>
      </c>
      <c r="C74">
        <v>70</v>
      </c>
      <c r="D74">
        <v>323.74358974358972</v>
      </c>
    </row>
    <row r="75" spans="1:4" ht="15" x14ac:dyDescent="0.25">
      <c r="A75" s="514">
        <v>89</v>
      </c>
      <c r="B75" s="515">
        <v>1102200</v>
      </c>
      <c r="C75">
        <v>71</v>
      </c>
      <c r="D75">
        <v>331.43589743589746</v>
      </c>
    </row>
    <row r="76" spans="1:4" ht="15" x14ac:dyDescent="0.25">
      <c r="A76" s="514">
        <v>90</v>
      </c>
      <c r="B76" s="515">
        <v>1125800</v>
      </c>
      <c r="C76">
        <v>72</v>
      </c>
      <c r="D76">
        <v>337.38461538461536</v>
      </c>
    </row>
    <row r="77" spans="1:4" ht="15" x14ac:dyDescent="0.25">
      <c r="A77" s="514">
        <v>91</v>
      </c>
      <c r="B77" s="515">
        <v>1149700</v>
      </c>
      <c r="C77">
        <v>73</v>
      </c>
      <c r="D77">
        <v>343.38461538461536</v>
      </c>
    </row>
    <row r="78" spans="1:4" ht="15" x14ac:dyDescent="0.25">
      <c r="A78" s="514">
        <v>92</v>
      </c>
      <c r="B78" s="515">
        <v>1173100</v>
      </c>
      <c r="C78">
        <v>74</v>
      </c>
      <c r="D78">
        <v>349.64102564102564</v>
      </c>
    </row>
    <row r="79" spans="1:4" ht="15" x14ac:dyDescent="0.25">
      <c r="A79" s="514">
        <v>93</v>
      </c>
      <c r="B79" s="515">
        <v>1196800</v>
      </c>
      <c r="C79">
        <v>75</v>
      </c>
      <c r="D79">
        <v>356.46153846153845</v>
      </c>
    </row>
    <row r="80" spans="1:4" ht="15" x14ac:dyDescent="0.25">
      <c r="A80" s="514">
        <v>94</v>
      </c>
      <c r="B80" s="515">
        <v>1220400</v>
      </c>
      <c r="C80">
        <v>76</v>
      </c>
      <c r="D80">
        <v>365.74358974358972</v>
      </c>
    </row>
    <row r="81" spans="1:4" ht="15" x14ac:dyDescent="0.25">
      <c r="A81" s="514">
        <v>95</v>
      </c>
      <c r="B81" s="515">
        <v>1244200</v>
      </c>
      <c r="C81">
        <v>77</v>
      </c>
      <c r="D81">
        <v>374.87179487179486</v>
      </c>
    </row>
    <row r="82" spans="1:4" ht="15" x14ac:dyDescent="0.25">
      <c r="A82" s="514">
        <v>96</v>
      </c>
      <c r="B82" s="515">
        <v>1267300</v>
      </c>
      <c r="C82">
        <v>78</v>
      </c>
      <c r="D82">
        <v>386.92307692307691</v>
      </c>
    </row>
    <row r="83" spans="1:4" ht="15" x14ac:dyDescent="0.25">
      <c r="A83" s="514">
        <v>97</v>
      </c>
      <c r="B83" s="515">
        <v>1290500</v>
      </c>
      <c r="C83">
        <v>79</v>
      </c>
      <c r="D83">
        <v>399.12820512820514</v>
      </c>
    </row>
    <row r="84" spans="1:4" ht="15" x14ac:dyDescent="0.25">
      <c r="A84" s="514">
        <v>98</v>
      </c>
      <c r="B84" s="515">
        <v>1313600</v>
      </c>
      <c r="C84">
        <v>80</v>
      </c>
      <c r="D84">
        <v>411.38461538461536</v>
      </c>
    </row>
    <row r="85" spans="1:4" ht="15" x14ac:dyDescent="0.25">
      <c r="A85" s="514">
        <v>99</v>
      </c>
      <c r="B85" s="515">
        <v>1335800</v>
      </c>
      <c r="C85">
        <v>81</v>
      </c>
      <c r="D85">
        <v>423.38461538461536</v>
      </c>
    </row>
    <row r="86" spans="1:4" ht="15" x14ac:dyDescent="0.25">
      <c r="A86" s="514">
        <v>100</v>
      </c>
      <c r="B86" s="515">
        <v>1357900</v>
      </c>
      <c r="C86">
        <v>82</v>
      </c>
      <c r="D86">
        <v>435.07692307692309</v>
      </c>
    </row>
    <row r="87" spans="1:4" ht="15" x14ac:dyDescent="0.25">
      <c r="A87" s="514">
        <v>101</v>
      </c>
      <c r="B87" s="515">
        <v>1380100</v>
      </c>
      <c r="C87">
        <v>83</v>
      </c>
      <c r="D87">
        <v>446.61538461538464</v>
      </c>
    </row>
    <row r="88" spans="1:4" x14ac:dyDescent="0.2">
      <c r="A88" s="16">
        <v>84</v>
      </c>
      <c r="B88" s="16">
        <v>906000</v>
      </c>
      <c r="C88">
        <v>84</v>
      </c>
      <c r="D88">
        <v>458.20512820512823</v>
      </c>
    </row>
    <row r="89" spans="1:4" x14ac:dyDescent="0.2">
      <c r="A89" s="16">
        <v>85</v>
      </c>
      <c r="B89" s="16">
        <v>934800</v>
      </c>
      <c r="C89">
        <v>85</v>
      </c>
      <c r="D89">
        <v>472.76923076923077</v>
      </c>
    </row>
    <row r="90" spans="1:4" x14ac:dyDescent="0.2">
      <c r="A90" s="16">
        <v>86</v>
      </c>
      <c r="B90" s="16">
        <v>963200</v>
      </c>
      <c r="C90">
        <v>86</v>
      </c>
      <c r="D90">
        <v>487.17948717948718</v>
      </c>
    </row>
    <row r="91" spans="1:4" x14ac:dyDescent="0.2">
      <c r="A91" s="16">
        <v>87</v>
      </c>
      <c r="B91" s="16">
        <v>992200</v>
      </c>
      <c r="C91">
        <v>87</v>
      </c>
      <c r="D91">
        <v>501.84615384615387</v>
      </c>
    </row>
    <row r="92" spans="1:4" x14ac:dyDescent="0.2">
      <c r="A92" s="16">
        <v>88</v>
      </c>
      <c r="B92" s="16">
        <v>1014900</v>
      </c>
      <c r="C92">
        <v>88</v>
      </c>
      <c r="D92">
        <v>513.33333333333337</v>
      </c>
    </row>
    <row r="93" spans="1:4" x14ac:dyDescent="0.2">
      <c r="A93" s="16">
        <v>89</v>
      </c>
      <c r="B93" s="16">
        <v>1037800</v>
      </c>
      <c r="C93">
        <v>89</v>
      </c>
      <c r="D93">
        <v>524.92307692307691</v>
      </c>
    </row>
    <row r="94" spans="1:4" x14ac:dyDescent="0.2">
      <c r="A94" s="16">
        <v>90</v>
      </c>
      <c r="B94" s="16">
        <v>1060700</v>
      </c>
      <c r="C94">
        <v>90</v>
      </c>
      <c r="D94">
        <v>536.51282051282055</v>
      </c>
    </row>
    <row r="95" spans="1:4" x14ac:dyDescent="0.2">
      <c r="A95" s="16">
        <v>91</v>
      </c>
      <c r="B95" s="16">
        <v>1083900</v>
      </c>
      <c r="C95">
        <v>91</v>
      </c>
      <c r="D95">
        <v>548.25641025641028</v>
      </c>
    </row>
    <row r="96" spans="1:4" x14ac:dyDescent="0.2">
      <c r="A96" s="16">
        <v>92</v>
      </c>
      <c r="B96" s="16">
        <v>1106600</v>
      </c>
      <c r="C96">
        <v>92</v>
      </c>
      <c r="D96">
        <v>559.74358974358972</v>
      </c>
    </row>
    <row r="97" spans="1:4" x14ac:dyDescent="0.2">
      <c r="A97" s="16">
        <v>93</v>
      </c>
      <c r="B97" s="16">
        <v>1129600</v>
      </c>
      <c r="C97">
        <v>93</v>
      </c>
      <c r="D97">
        <v>571.38461538461536</v>
      </c>
    </row>
    <row r="98" spans="1:4" x14ac:dyDescent="0.2">
      <c r="A98" s="16">
        <v>94</v>
      </c>
      <c r="B98" s="16">
        <v>1152500</v>
      </c>
      <c r="C98">
        <v>94</v>
      </c>
      <c r="D98">
        <v>582.92307692307691</v>
      </c>
    </row>
    <row r="99" spans="1:4" x14ac:dyDescent="0.2">
      <c r="A99" s="16">
        <v>95</v>
      </c>
      <c r="B99" s="16">
        <v>1175600</v>
      </c>
      <c r="C99">
        <v>95</v>
      </c>
      <c r="D99">
        <v>594.61538461538464</v>
      </c>
    </row>
    <row r="100" spans="1:4" x14ac:dyDescent="0.2">
      <c r="A100" s="16">
        <v>96</v>
      </c>
      <c r="B100" s="16">
        <v>1198000</v>
      </c>
      <c r="C100">
        <v>96</v>
      </c>
      <c r="D100">
        <v>605.9487179487179</v>
      </c>
    </row>
    <row r="101" spans="1:4" x14ac:dyDescent="0.2">
      <c r="A101" s="16">
        <v>97</v>
      </c>
      <c r="B101" s="16">
        <v>1220500</v>
      </c>
      <c r="C101">
        <v>97</v>
      </c>
      <c r="D101">
        <v>617.33333333333337</v>
      </c>
    </row>
    <row r="102" spans="1:4" x14ac:dyDescent="0.2">
      <c r="A102" s="16">
        <v>98</v>
      </c>
      <c r="B102" s="16">
        <v>1243000</v>
      </c>
      <c r="C102">
        <v>98</v>
      </c>
      <c r="D102">
        <v>628.71794871794873</v>
      </c>
    </row>
    <row r="103" spans="1:4" x14ac:dyDescent="0.2">
      <c r="A103" s="16">
        <v>99</v>
      </c>
      <c r="B103" s="16">
        <v>1264500</v>
      </c>
      <c r="C103">
        <v>99</v>
      </c>
      <c r="D103">
        <v>639.64102564102564</v>
      </c>
    </row>
    <row r="104" spans="1:4" x14ac:dyDescent="0.2">
      <c r="A104" s="16">
        <v>100</v>
      </c>
      <c r="B104" s="16">
        <v>1285900</v>
      </c>
      <c r="C104">
        <v>100</v>
      </c>
      <c r="D104">
        <v>650.46153846153845</v>
      </c>
    </row>
    <row r="105" spans="1:4" x14ac:dyDescent="0.2">
      <c r="A105" s="16">
        <v>101</v>
      </c>
      <c r="B105" s="16">
        <v>1307400</v>
      </c>
      <c r="C105">
        <v>101</v>
      </c>
      <c r="D105">
        <v>661.33333333333337</v>
      </c>
    </row>
    <row r="106" spans="1:4" x14ac:dyDescent="0.2">
      <c r="A106" s="16">
        <v>102</v>
      </c>
      <c r="B106" s="16">
        <v>0</v>
      </c>
    </row>
  </sheetData>
  <sheetProtection algorithmName="SHA-512" hashValue="5ex+LZuzx4QBpihJhLgPWgjaJHLiuSxtdzxp+GcByyncwchfuReXh1iTK4Ow/dYsFjuo8zZuNWfyFwAUmDW/DA==" saltValue="7DB+MRK6FOihAkHBjzqtPQ==" spinCount="100000" sheet="1" objects="1" scenarios="1" formatColumns="0"/>
  <phoneticPr fontId="42" type="noConversion"/>
  <conditionalFormatting sqref="H33">
    <cfRule type="expression" dxfId="5" priority="17" stopIfTrue="1">
      <formula>#REF!="NEI"</formula>
    </cfRule>
  </conditionalFormatting>
  <conditionalFormatting sqref="P39 S26:U26 G41:R41">
    <cfRule type="expression" dxfId="4" priority="11" stopIfTrue="1">
      <formula>#REF!="NEI"</formula>
    </cfRule>
  </conditionalFormatting>
  <conditionalFormatting sqref="G40:R40">
    <cfRule type="expression" dxfId="3" priority="9" stopIfTrue="1">
      <formula>#REF!="NEI"</formula>
    </cfRule>
  </conditionalFormatting>
  <conditionalFormatting sqref="S18:U18 S21:U21 S25:U25 I33:R33 G36:H36 J36:R36 I35">
    <cfRule type="expression" dxfId="2" priority="7" stopIfTrue="1">
      <formula>#REF!="NEI"</formula>
    </cfRule>
  </conditionalFormatting>
  <conditionalFormatting sqref="G33:G34">
    <cfRule type="expression" dxfId="1" priority="2" stopIfTrue="1">
      <formula>#REF!="NEI"</formula>
    </cfRule>
  </conditionalFormatting>
  <conditionalFormatting sqref="G37">
    <cfRule type="expression" dxfId="0" priority="1" stopIfTrue="1">
      <formula>#REF!="NEI"</formula>
    </cfRule>
  </conditionalFormatting>
  <printOptions headings="1"/>
  <pageMargins left="0.55000000000000004" right="0.25" top="0.98425196850393704" bottom="0.98425196850393704" header="0.51181102362204722" footer="0.51181102362204722"/>
  <pageSetup paperSize="9" scale="80" orientation="portrait" cellComments="atEn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42" sqref="S42"/>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R48"/>
  <sheetViews>
    <sheetView workbookViewId="0">
      <selection activeCell="R48" sqref="R48"/>
    </sheetView>
  </sheetViews>
  <sheetFormatPr defaultRowHeight="12.75" x14ac:dyDescent="0.2"/>
  <sheetData>
    <row r="48" spans="18:18" x14ac:dyDescent="0.2">
      <c r="R48" t="s">
        <v>327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C47"/>
  <sheetViews>
    <sheetView topLeftCell="A13" workbookViewId="0">
      <selection activeCell="A24" sqref="A24"/>
    </sheetView>
  </sheetViews>
  <sheetFormatPr defaultColWidth="9.140625" defaultRowHeight="12.75" x14ac:dyDescent="0.2"/>
  <cols>
    <col min="1" max="1" width="12.7109375" style="336" customWidth="1"/>
    <col min="2" max="2" width="54.28515625" style="336" customWidth="1"/>
    <col min="3" max="16384" width="9.140625" style="336"/>
  </cols>
  <sheetData>
    <row r="2" spans="1:3" ht="15" x14ac:dyDescent="0.25">
      <c r="A2" s="335" t="s">
        <v>332</v>
      </c>
    </row>
    <row r="4" spans="1:3" x14ac:dyDescent="0.2">
      <c r="A4" s="337" t="s">
        <v>70</v>
      </c>
      <c r="B4" s="338" t="s">
        <v>333</v>
      </c>
      <c r="C4" s="337" t="s">
        <v>334</v>
      </c>
    </row>
    <row r="5" spans="1:3" ht="25.5" x14ac:dyDescent="0.2">
      <c r="A5" s="339">
        <v>42297</v>
      </c>
      <c r="B5" s="340" t="s">
        <v>335</v>
      </c>
      <c r="C5" s="341" t="s">
        <v>336</v>
      </c>
    </row>
    <row r="6" spans="1:3" x14ac:dyDescent="0.2">
      <c r="A6" s="339">
        <v>42048</v>
      </c>
      <c r="B6" s="340" t="s">
        <v>341</v>
      </c>
      <c r="C6" s="341" t="s">
        <v>342</v>
      </c>
    </row>
    <row r="7" spans="1:3" x14ac:dyDescent="0.2">
      <c r="A7" s="339">
        <v>42053</v>
      </c>
      <c r="B7" s="342" t="s">
        <v>338</v>
      </c>
      <c r="C7" s="341" t="s">
        <v>336</v>
      </c>
    </row>
    <row r="8" spans="1:3" ht="25.5" x14ac:dyDescent="0.2">
      <c r="A8" s="339">
        <v>42053</v>
      </c>
      <c r="B8" s="342" t="s">
        <v>339</v>
      </c>
      <c r="C8" s="341" t="s">
        <v>340</v>
      </c>
    </row>
    <row r="9" spans="1:3" ht="25.5" x14ac:dyDescent="0.2">
      <c r="A9" s="346">
        <v>42111</v>
      </c>
      <c r="B9" s="347" t="s">
        <v>343</v>
      </c>
      <c r="C9" s="348" t="s">
        <v>342</v>
      </c>
    </row>
    <row r="10" spans="1:3" ht="25.5" x14ac:dyDescent="0.2">
      <c r="A10" s="339">
        <v>42143</v>
      </c>
      <c r="B10" s="342" t="s">
        <v>344</v>
      </c>
      <c r="C10" s="341" t="s">
        <v>346</v>
      </c>
    </row>
    <row r="11" spans="1:3" ht="25.5" x14ac:dyDescent="0.2">
      <c r="A11" s="339">
        <v>42164</v>
      </c>
      <c r="B11" s="347" t="s">
        <v>345</v>
      </c>
      <c r="C11" s="341" t="s">
        <v>346</v>
      </c>
    </row>
    <row r="12" spans="1:3" ht="38.25" x14ac:dyDescent="0.2">
      <c r="A12" s="346">
        <v>42410</v>
      </c>
      <c r="B12" s="349" t="s">
        <v>347</v>
      </c>
      <c r="C12" s="348" t="s">
        <v>346</v>
      </c>
    </row>
    <row r="13" spans="1:3" ht="25.5" x14ac:dyDescent="0.2">
      <c r="A13" s="339">
        <v>42531</v>
      </c>
      <c r="B13" s="320" t="s">
        <v>348</v>
      </c>
      <c r="C13" s="341" t="s">
        <v>340</v>
      </c>
    </row>
    <row r="14" spans="1:3" ht="38.25" x14ac:dyDescent="0.2">
      <c r="A14" s="346">
        <v>42543</v>
      </c>
      <c r="B14" s="347" t="s">
        <v>349</v>
      </c>
      <c r="C14" s="348" t="s">
        <v>346</v>
      </c>
    </row>
    <row r="15" spans="1:3" ht="25.5" x14ac:dyDescent="0.2">
      <c r="A15" s="384">
        <v>42555</v>
      </c>
      <c r="B15" s="383" t="s">
        <v>350</v>
      </c>
      <c r="C15" s="385" t="s">
        <v>346</v>
      </c>
    </row>
    <row r="16" spans="1:3" ht="25.5" x14ac:dyDescent="0.2">
      <c r="A16" s="339">
        <v>42618</v>
      </c>
      <c r="B16" s="342" t="s">
        <v>351</v>
      </c>
      <c r="C16" s="341" t="s">
        <v>340</v>
      </c>
    </row>
    <row r="17" spans="1:3" ht="42.75" customHeight="1" x14ac:dyDescent="0.2">
      <c r="A17" s="339">
        <v>42654</v>
      </c>
      <c r="B17" s="342" t="s">
        <v>356</v>
      </c>
      <c r="C17" s="341" t="s">
        <v>346</v>
      </c>
    </row>
    <row r="18" spans="1:3" ht="51" x14ac:dyDescent="0.2">
      <c r="A18" s="339">
        <v>42668</v>
      </c>
      <c r="B18" s="342" t="s">
        <v>357</v>
      </c>
      <c r="C18" s="341" t="s">
        <v>340</v>
      </c>
    </row>
    <row r="19" spans="1:3" ht="38.25" x14ac:dyDescent="0.2">
      <c r="A19" s="339">
        <v>42713</v>
      </c>
      <c r="B19" s="342" t="s">
        <v>358</v>
      </c>
      <c r="C19" s="341" t="s">
        <v>340</v>
      </c>
    </row>
    <row r="20" spans="1:3" ht="25.5" x14ac:dyDescent="0.2">
      <c r="A20" s="408">
        <v>42866</v>
      </c>
      <c r="B20" s="407" t="s">
        <v>359</v>
      </c>
      <c r="C20" s="409" t="s">
        <v>340</v>
      </c>
    </row>
    <row r="21" spans="1:3" ht="25.5" x14ac:dyDescent="0.2">
      <c r="A21" s="339">
        <v>42935</v>
      </c>
      <c r="B21" s="342" t="s">
        <v>366</v>
      </c>
      <c r="C21" s="409" t="s">
        <v>340</v>
      </c>
    </row>
    <row r="22" spans="1:3" ht="25.5" x14ac:dyDescent="0.2">
      <c r="A22" s="339">
        <v>42976</v>
      </c>
      <c r="B22" s="342" t="s">
        <v>367</v>
      </c>
      <c r="C22" s="409" t="s">
        <v>340</v>
      </c>
    </row>
    <row r="23" spans="1:3" ht="39.75" customHeight="1" x14ac:dyDescent="0.2">
      <c r="A23" s="339">
        <v>43005</v>
      </c>
      <c r="B23" s="342" t="s">
        <v>368</v>
      </c>
      <c r="C23" s="341" t="s">
        <v>342</v>
      </c>
    </row>
    <row r="24" spans="1:3" x14ac:dyDescent="0.2">
      <c r="A24" s="339"/>
      <c r="B24" s="343"/>
      <c r="C24" s="341"/>
    </row>
    <row r="25" spans="1:3" x14ac:dyDescent="0.2">
      <c r="A25" s="339"/>
      <c r="B25" s="343"/>
      <c r="C25" s="341"/>
    </row>
    <row r="26" spans="1:3" x14ac:dyDescent="0.2">
      <c r="A26" s="339"/>
      <c r="B26" s="343"/>
      <c r="C26" s="341"/>
    </row>
    <row r="27" spans="1:3" x14ac:dyDescent="0.2">
      <c r="A27" s="339"/>
      <c r="B27" s="343"/>
      <c r="C27" s="341"/>
    </row>
    <row r="28" spans="1:3" x14ac:dyDescent="0.2">
      <c r="A28" s="339"/>
      <c r="B28" s="343"/>
      <c r="C28" s="341"/>
    </row>
    <row r="29" spans="1:3" x14ac:dyDescent="0.2">
      <c r="A29" s="339"/>
      <c r="B29" s="343"/>
      <c r="C29" s="341"/>
    </row>
    <row r="30" spans="1:3" x14ac:dyDescent="0.2">
      <c r="A30" s="339"/>
      <c r="B30" s="343"/>
      <c r="C30" s="341"/>
    </row>
    <row r="31" spans="1:3" x14ac:dyDescent="0.2">
      <c r="A31" s="339"/>
      <c r="B31" s="343"/>
      <c r="C31" s="341"/>
    </row>
    <row r="32" spans="1:3" x14ac:dyDescent="0.2">
      <c r="A32" s="339"/>
      <c r="B32" s="343"/>
      <c r="C32" s="341"/>
    </row>
    <row r="33" spans="1:3" x14ac:dyDescent="0.2">
      <c r="A33" s="339"/>
      <c r="B33" s="343"/>
      <c r="C33" s="341"/>
    </row>
    <row r="34" spans="1:3" x14ac:dyDescent="0.2">
      <c r="A34" s="339"/>
      <c r="B34" s="343"/>
      <c r="C34" s="341"/>
    </row>
    <row r="35" spans="1:3" x14ac:dyDescent="0.2">
      <c r="A35" s="339"/>
      <c r="B35" s="343"/>
      <c r="C35" s="341"/>
    </row>
    <row r="36" spans="1:3" x14ac:dyDescent="0.2">
      <c r="A36" s="339"/>
      <c r="B36" s="343"/>
      <c r="C36" s="341"/>
    </row>
    <row r="37" spans="1:3" x14ac:dyDescent="0.2">
      <c r="A37" s="339"/>
      <c r="B37" s="343"/>
      <c r="C37" s="341"/>
    </row>
    <row r="38" spans="1:3" x14ac:dyDescent="0.2">
      <c r="A38" s="339"/>
      <c r="B38" s="343"/>
      <c r="C38" s="341"/>
    </row>
    <row r="39" spans="1:3" x14ac:dyDescent="0.2">
      <c r="A39" s="339"/>
      <c r="B39" s="343"/>
      <c r="C39" s="341"/>
    </row>
    <row r="40" spans="1:3" x14ac:dyDescent="0.2">
      <c r="A40" s="339"/>
      <c r="B40" s="343"/>
      <c r="C40" s="341"/>
    </row>
    <row r="41" spans="1:3" x14ac:dyDescent="0.2">
      <c r="A41" s="339"/>
      <c r="B41" s="343"/>
      <c r="C41" s="341"/>
    </row>
    <row r="42" spans="1:3" x14ac:dyDescent="0.2">
      <c r="A42" s="339"/>
      <c r="B42" s="343"/>
      <c r="C42" s="341"/>
    </row>
    <row r="43" spans="1:3" x14ac:dyDescent="0.2">
      <c r="A43" s="339"/>
      <c r="B43" s="343"/>
      <c r="C43" s="341"/>
    </row>
    <row r="44" spans="1:3" x14ac:dyDescent="0.2">
      <c r="A44" s="339"/>
      <c r="B44" s="343"/>
      <c r="C44" s="341"/>
    </row>
    <row r="45" spans="1:3" x14ac:dyDescent="0.2">
      <c r="A45" s="339"/>
      <c r="B45" s="343"/>
      <c r="C45" s="341"/>
    </row>
    <row r="46" spans="1:3" x14ac:dyDescent="0.2">
      <c r="A46" s="339"/>
      <c r="B46" s="343"/>
      <c r="C46" s="341"/>
    </row>
    <row r="47" spans="1:3" x14ac:dyDescent="0.2">
      <c r="A47" s="339"/>
      <c r="B47" s="343"/>
      <c r="C47" s="341"/>
    </row>
  </sheetData>
  <sheetProtection password="FF04" sheet="1" objects="1" scenarios="1" formatColumn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I9"/>
  <sheetViews>
    <sheetView showGridLines="0" zoomScaleNormal="100" workbookViewId="0">
      <selection activeCell="F7" sqref="F7"/>
    </sheetView>
  </sheetViews>
  <sheetFormatPr defaultColWidth="9.140625" defaultRowHeight="12.75" x14ac:dyDescent="0.2"/>
  <cols>
    <col min="1" max="1" width="24.5703125" style="48" customWidth="1"/>
    <col min="2" max="2" width="25.42578125" style="48" customWidth="1"/>
    <col min="3" max="3" width="21.140625" style="48" customWidth="1"/>
    <col min="4" max="4" width="21.42578125" style="48" customWidth="1"/>
    <col min="5" max="5" width="21.5703125" style="48" customWidth="1"/>
    <col min="6" max="6" width="20" style="48" customWidth="1"/>
    <col min="7" max="7" width="13.7109375" style="48" customWidth="1"/>
    <col min="8" max="8" width="10.42578125" style="48" bestFit="1" customWidth="1"/>
    <col min="9" max="9" width="14.42578125" style="48" bestFit="1" customWidth="1"/>
    <col min="10" max="10" width="9.28515625" style="48" bestFit="1" customWidth="1"/>
    <col min="11" max="16384" width="9.140625" style="48"/>
  </cols>
  <sheetData>
    <row r="1" spans="1:9" ht="21" x14ac:dyDescent="0.35">
      <c r="A1" s="61" t="s">
        <v>253</v>
      </c>
      <c r="B1" s="46"/>
      <c r="C1" s="46"/>
      <c r="F1" s="44"/>
      <c r="G1" s="45"/>
      <c r="H1" s="45"/>
      <c r="I1" s="45"/>
    </row>
    <row r="2" spans="1:9" ht="18.75" x14ac:dyDescent="0.3">
      <c r="A2" s="79" t="s">
        <v>98</v>
      </c>
      <c r="B2" s="46" t="str">
        <f>IF(Registrering!C4="","",Registrering!C4)</f>
        <v/>
      </c>
      <c r="E2" s="45"/>
      <c r="F2" s="44"/>
      <c r="G2" s="45"/>
      <c r="H2" s="45"/>
      <c r="I2" s="45"/>
    </row>
    <row r="3" spans="1:9" ht="18.75" x14ac:dyDescent="0.3">
      <c r="A3" s="79"/>
      <c r="B3" s="95"/>
      <c r="E3" s="45"/>
      <c r="F3" s="44"/>
      <c r="G3" s="45"/>
      <c r="H3" s="45"/>
      <c r="I3" s="45"/>
    </row>
    <row r="4" spans="1:9" ht="18.75" x14ac:dyDescent="0.3">
      <c r="A4" s="46"/>
      <c r="B4" s="46"/>
      <c r="C4" s="46"/>
      <c r="E4" s="45"/>
      <c r="F4" s="44"/>
      <c r="G4" s="45"/>
      <c r="H4" s="45"/>
      <c r="I4" s="45"/>
    </row>
    <row r="5" spans="1:9" ht="18.75" x14ac:dyDescent="0.3">
      <c r="A5" s="46" t="s">
        <v>24</v>
      </c>
      <c r="B5" s="46"/>
      <c r="C5" s="46" t="s">
        <v>154</v>
      </c>
      <c r="D5" s="50"/>
      <c r="E5" s="50"/>
      <c r="F5" s="50"/>
    </row>
    <row r="6" spans="1:9" x14ac:dyDescent="0.2">
      <c r="B6" s="48" t="s">
        <v>58</v>
      </c>
      <c r="C6" s="51" t="str">
        <f>Budsjett!F3</f>
        <v>Periode 1 (1-18 month)</v>
      </c>
      <c r="D6" s="51" t="str">
        <f>Budsjett!G3</f>
        <v>Periode 2 (19-36 month)</v>
      </c>
      <c r="E6" s="51" t="str">
        <f>Budsjett!H3</f>
        <v>Periode 3 (37-54 month)</v>
      </c>
      <c r="F6" s="51" t="str">
        <f>Budsjett!I3</f>
        <v>Periode 4 (55-60 (72) month)</v>
      </c>
      <c r="G6" s="54" t="s">
        <v>0</v>
      </c>
      <c r="H6" s="54" t="s">
        <v>200</v>
      </c>
    </row>
    <row r="7" spans="1:9" ht="15" x14ac:dyDescent="0.25">
      <c r="A7" s="52" t="s">
        <v>280</v>
      </c>
      <c r="B7" s="140"/>
      <c r="C7" s="245">
        <f>IFERROR('Budget for the contract'!B23,"")</f>
        <v>0</v>
      </c>
      <c r="D7" s="245">
        <f>IFERROR('Budget for the contract'!C23,"")</f>
        <v>0</v>
      </c>
      <c r="E7" s="245">
        <f>IFERROR('Budget for the contract'!D23,"")</f>
        <v>0</v>
      </c>
      <c r="F7" s="245">
        <f>IFERROR('Budget for the contract'!E23,"")</f>
        <v>0</v>
      </c>
      <c r="G7" s="53">
        <f>SUM(C7:F7)</f>
        <v>0</v>
      </c>
      <c r="H7" s="53">
        <f>IFERROR(G7/$G$9*100,0)</f>
        <v>0</v>
      </c>
    </row>
    <row r="8" spans="1:9" ht="15" x14ac:dyDescent="0.25">
      <c r="A8" s="52" t="s">
        <v>281</v>
      </c>
      <c r="B8" s="140"/>
      <c r="C8" s="56"/>
      <c r="D8" s="56"/>
      <c r="E8" s="56"/>
      <c r="F8" s="56"/>
      <c r="G8" s="53">
        <f>SUM(C8:F8)</f>
        <v>0</v>
      </c>
      <c r="H8" s="53">
        <f>IFERROR(G8/$G$9*100,0)</f>
        <v>0</v>
      </c>
    </row>
    <row r="9" spans="1:9" ht="15" x14ac:dyDescent="0.25">
      <c r="A9" s="52" t="s">
        <v>90</v>
      </c>
      <c r="B9" s="140"/>
      <c r="C9" s="53">
        <f>SUM(C7:C8)</f>
        <v>0</v>
      </c>
      <c r="D9" s="53">
        <f>SUM(D7:D8)</f>
        <v>0</v>
      </c>
      <c r="E9" s="53">
        <f>SUM(E7:E8)</f>
        <v>0</v>
      </c>
      <c r="F9" s="53">
        <f>SUM(F7:F8)</f>
        <v>0</v>
      </c>
      <c r="G9" s="53">
        <f>SUM(C9:F9)</f>
        <v>0</v>
      </c>
      <c r="H9" s="53">
        <f>IFERROR(G9/$G$9*100,0)</f>
        <v>0</v>
      </c>
    </row>
  </sheetData>
  <sheetProtection password="FF04" sheet="1" objects="1" scenarios="1"/>
  <conditionalFormatting sqref="D8:F8 G6:G8">
    <cfRule type="expression" dxfId="228" priority="68" stopIfTrue="1">
      <formula>#REF!="NEI"</formula>
    </cfRule>
  </conditionalFormatting>
  <conditionalFormatting sqref="C8">
    <cfRule type="expression" dxfId="227" priority="62" stopIfTrue="1">
      <formula>#REF!="NEI"</formula>
    </cfRule>
  </conditionalFormatting>
  <conditionalFormatting sqref="C5">
    <cfRule type="expression" dxfId="226" priority="51" stopIfTrue="1">
      <formula>#REF!="NEI"</formula>
    </cfRule>
  </conditionalFormatting>
  <conditionalFormatting sqref="C6:F6 H7:H9">
    <cfRule type="expression" dxfId="225" priority="44" stopIfTrue="1">
      <formula>#REF!="NEI"</formula>
    </cfRule>
  </conditionalFormatting>
  <conditionalFormatting sqref="G9">
    <cfRule type="expression" dxfId="224" priority="40" stopIfTrue="1">
      <formula>#REF!="NEI"</formula>
    </cfRule>
  </conditionalFormatting>
  <conditionalFormatting sqref="B7">
    <cfRule type="expression" dxfId="223" priority="39" stopIfTrue="1">
      <formula>#REF!="NEI"</formula>
    </cfRule>
  </conditionalFormatting>
  <conditionalFormatting sqref="B8">
    <cfRule type="expression" dxfId="222" priority="38" stopIfTrue="1">
      <formula>#REF!="NEI"</formula>
    </cfRule>
  </conditionalFormatting>
  <conditionalFormatting sqref="B9">
    <cfRule type="expression" dxfId="221" priority="36" stopIfTrue="1">
      <formula>#REF!="NEI"</formula>
    </cfRule>
  </conditionalFormatting>
  <conditionalFormatting sqref="H6">
    <cfRule type="expression" dxfId="220" priority="10" stopIfTrue="1">
      <formula>#REF!="NEI"</formula>
    </cfRule>
  </conditionalFormatting>
  <conditionalFormatting sqref="C7:F7">
    <cfRule type="expression" dxfId="219" priority="1" stopIfTrue="1">
      <formula>#REF!="NEI"</formula>
    </cfRule>
  </conditionalFormatting>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tabColor rgb="FF00B050"/>
    <pageSetUpPr fitToPage="1"/>
  </sheetPr>
  <dimension ref="A1:CA73"/>
  <sheetViews>
    <sheetView showGridLines="0" zoomScale="70" zoomScaleNormal="70" zoomScalePageLayoutView="85" workbookViewId="0">
      <selection activeCell="F8" sqref="F8"/>
    </sheetView>
  </sheetViews>
  <sheetFormatPr defaultColWidth="9.140625" defaultRowHeight="12.75" x14ac:dyDescent="0.2"/>
  <cols>
    <col min="1" max="2" width="29.42578125" style="45" customWidth="1"/>
    <col min="3" max="3" width="12.140625" style="45" customWidth="1"/>
    <col min="4" max="4" width="5.85546875" style="45" customWidth="1"/>
    <col min="5" max="5" width="30" style="45" customWidth="1"/>
    <col min="6" max="9" width="32.42578125" style="45" customWidth="1"/>
    <col min="10" max="10" width="18.140625" style="45" customWidth="1"/>
    <col min="11" max="11" width="32" style="45" customWidth="1"/>
    <col min="12" max="12" width="16.140625" style="45" customWidth="1"/>
    <col min="13" max="13" width="19.28515625" style="45" customWidth="1"/>
    <col min="14" max="14" width="4" style="45" customWidth="1"/>
    <col min="15" max="15" width="10" style="45" customWidth="1"/>
    <col min="16" max="16" width="18.7109375" style="45" customWidth="1"/>
    <col min="17" max="20" width="12.85546875" style="45" customWidth="1"/>
    <col min="21" max="21" width="11.7109375" style="45" customWidth="1"/>
    <col min="22" max="22" width="12.28515625" style="45" customWidth="1"/>
    <col min="23" max="23" width="10.85546875" style="45" bestFit="1" customWidth="1"/>
    <col min="24" max="25" width="10.85546875" style="45" customWidth="1"/>
    <col min="26" max="26" width="9.140625" style="45"/>
    <col min="27" max="27" width="10.7109375" style="45" customWidth="1"/>
    <col min="28" max="28" width="10.42578125" style="45" customWidth="1"/>
    <col min="29" max="29" width="10.140625" style="45" customWidth="1"/>
    <col min="30" max="32" width="9.140625" style="45"/>
    <col min="33" max="33" width="14.42578125" style="45" customWidth="1"/>
    <col min="34" max="34" width="11.28515625" style="45" bestFit="1" customWidth="1"/>
    <col min="35" max="36" width="9.140625" style="45"/>
    <col min="37" max="37" width="16.140625" style="45" customWidth="1"/>
    <col min="38" max="38" width="16" style="45" customWidth="1"/>
    <col min="39" max="39" width="14.7109375" style="45" bestFit="1" customWidth="1"/>
    <col min="40" max="40" width="13.85546875" style="45" bestFit="1" customWidth="1"/>
    <col min="41" max="41" width="15" style="45" bestFit="1" customWidth="1"/>
    <col min="42" max="42" width="20" style="45" customWidth="1"/>
    <col min="43" max="43" width="28.42578125" style="45" bestFit="1" customWidth="1"/>
    <col min="44" max="44" width="13.85546875" style="45" bestFit="1" customWidth="1"/>
    <col min="45" max="46" width="14.140625" style="45" bestFit="1" customWidth="1"/>
    <col min="47" max="47" width="12.5703125" style="45" bestFit="1" customWidth="1"/>
    <col min="48" max="48" width="9.140625" style="45"/>
    <col min="49" max="49" width="18.5703125" style="45" customWidth="1"/>
    <col min="50" max="50" width="19.28515625" style="45" customWidth="1"/>
    <col min="51" max="51" width="14.42578125" style="45" customWidth="1"/>
    <col min="52" max="52" width="17.140625" style="45" customWidth="1"/>
    <col min="53" max="53" width="10.7109375" style="45" customWidth="1"/>
    <col min="54" max="54" width="9.140625" style="45"/>
    <col min="55" max="55" width="24.85546875" style="45" bestFit="1" customWidth="1"/>
    <col min="56" max="56" width="13.85546875" style="45" bestFit="1" customWidth="1"/>
    <col min="57" max="57" width="12.85546875" style="45" bestFit="1" customWidth="1"/>
    <col min="58" max="58" width="13.7109375" style="45" bestFit="1" customWidth="1"/>
    <col min="59" max="59" width="9.140625" style="45"/>
    <col min="60" max="60" width="17.85546875" style="124" bestFit="1" customWidth="1"/>
    <col min="61" max="61" width="16.7109375" style="45" customWidth="1"/>
    <col min="62" max="62" width="16" style="45" bestFit="1" customWidth="1"/>
    <col min="63" max="63" width="16.28515625" style="45" bestFit="1" customWidth="1"/>
    <col min="64" max="64" width="15.7109375" style="45" bestFit="1" customWidth="1"/>
    <col min="65" max="65" width="17.28515625" style="45" bestFit="1" customWidth="1"/>
    <col min="66" max="66" width="10.140625" style="45" customWidth="1"/>
    <col min="67" max="67" width="14.28515625" style="45" customWidth="1"/>
    <col min="68" max="68" width="14.140625" style="45" bestFit="1" customWidth="1"/>
    <col min="69" max="69" width="13.140625" style="45" bestFit="1" customWidth="1"/>
    <col min="70" max="70" width="14.140625" style="45" bestFit="1" customWidth="1"/>
    <col min="71" max="71" width="14.7109375" style="45" bestFit="1" customWidth="1"/>
    <col min="72" max="72" width="16.5703125" style="45" bestFit="1" customWidth="1"/>
    <col min="73" max="74" width="9.140625" style="45"/>
    <col min="75" max="75" width="14.7109375" style="45" customWidth="1"/>
    <col min="76" max="76" width="13.7109375" style="45" bestFit="1" customWidth="1"/>
    <col min="77" max="77" width="13.85546875" style="45" bestFit="1" customWidth="1"/>
    <col min="78" max="78" width="11.85546875" style="45" bestFit="1" customWidth="1"/>
    <col min="79" max="79" width="14.85546875" style="45" customWidth="1"/>
    <col min="80" max="16384" width="9.140625" style="45"/>
  </cols>
  <sheetData>
    <row r="1" spans="1:79" ht="18.75" x14ac:dyDescent="0.3">
      <c r="A1" s="46" t="s">
        <v>82</v>
      </c>
      <c r="B1" s="46"/>
      <c r="C1" s="46"/>
      <c r="D1" s="46" t="str">
        <f>IF(Registrering!$C$4="","",Registrering!$C$4)</f>
        <v/>
      </c>
      <c r="E1" s="44"/>
      <c r="K1" s="47"/>
      <c r="AL1" s="44" t="s">
        <v>113</v>
      </c>
      <c r="AQ1" s="44" t="s">
        <v>93</v>
      </c>
      <c r="AW1" s="44" t="s">
        <v>73</v>
      </c>
      <c r="BC1" s="45" t="s">
        <v>114</v>
      </c>
      <c r="BI1" s="198"/>
      <c r="BO1" s="45" t="s">
        <v>225</v>
      </c>
      <c r="BV1" s="45" t="s">
        <v>6</v>
      </c>
    </row>
    <row r="2" spans="1:79" ht="21" x14ac:dyDescent="0.35">
      <c r="A2" s="55" t="s">
        <v>63</v>
      </c>
      <c r="B2" s="55"/>
      <c r="C2" s="49"/>
      <c r="D2" s="49"/>
      <c r="E2" s="55"/>
      <c r="F2" s="61" t="s">
        <v>109</v>
      </c>
      <c r="K2" s="47" t="s">
        <v>62</v>
      </c>
      <c r="BH2" s="211" t="s">
        <v>115</v>
      </c>
    </row>
    <row r="3" spans="1:79" ht="15" x14ac:dyDescent="0.25">
      <c r="A3" s="125" t="s">
        <v>59</v>
      </c>
      <c r="B3" s="393" t="s">
        <v>352</v>
      </c>
      <c r="C3" s="125" t="s">
        <v>172</v>
      </c>
      <c r="D3" s="125" t="s">
        <v>35</v>
      </c>
      <c r="E3" s="125" t="s">
        <v>58</v>
      </c>
      <c r="F3" s="126" t="s">
        <v>306</v>
      </c>
      <c r="G3" s="126" t="s">
        <v>307</v>
      </c>
      <c r="H3" s="126" t="s">
        <v>308</v>
      </c>
      <c r="I3" s="126" t="s">
        <v>312</v>
      </c>
      <c r="J3" s="127" t="s">
        <v>110</v>
      </c>
      <c r="K3" s="127" t="s">
        <v>235</v>
      </c>
      <c r="L3" s="127" t="s">
        <v>60</v>
      </c>
      <c r="M3" s="127" t="s">
        <v>61</v>
      </c>
      <c r="Z3" s="63" t="s">
        <v>48</v>
      </c>
      <c r="AA3" s="64" t="s">
        <v>2</v>
      </c>
      <c r="AB3" s="64" t="s">
        <v>169</v>
      </c>
      <c r="AC3" s="64" t="s">
        <v>26</v>
      </c>
      <c r="AD3" s="64" t="s">
        <v>31</v>
      </c>
      <c r="AE3" s="64" t="s">
        <v>27</v>
      </c>
      <c r="AF3" s="64" t="s">
        <v>28</v>
      </c>
      <c r="AG3" s="64" t="s">
        <v>21</v>
      </c>
      <c r="AH3" s="64" t="s">
        <v>22</v>
      </c>
      <c r="AI3" s="64" t="s">
        <v>19</v>
      </c>
      <c r="AL3" s="25" t="str">
        <f>F3</f>
        <v>Periode 1 (1-18 month)</v>
      </c>
      <c r="AM3" s="25" t="str">
        <f>G3</f>
        <v>Periode 2 (19-36 month)</v>
      </c>
      <c r="AN3" s="25" t="str">
        <f>H3</f>
        <v>Periode 3 (37-54 month)</v>
      </c>
      <c r="AO3" s="25" t="str">
        <f>I3</f>
        <v>Periode 4 (55-60 (72) month)</v>
      </c>
      <c r="AQ3" s="25" t="str">
        <f>AL3</f>
        <v>Periode 1 (1-18 month)</v>
      </c>
      <c r="AR3" s="25" t="str">
        <f>AM3</f>
        <v>Periode 2 (19-36 month)</v>
      </c>
      <c r="AS3" s="25" t="str">
        <f>AN3</f>
        <v>Periode 3 (37-54 month)</v>
      </c>
      <c r="AT3" s="25" t="str">
        <f>AO3</f>
        <v>Periode 4 (55-60 (72) month)</v>
      </c>
      <c r="AW3" s="25" t="str">
        <f>AQ3</f>
        <v>Periode 1 (1-18 month)</v>
      </c>
      <c r="AX3" s="25" t="str">
        <f>AR3</f>
        <v>Periode 2 (19-36 month)</v>
      </c>
      <c r="AY3" s="25" t="str">
        <f>AS3</f>
        <v>Periode 3 (37-54 month)</v>
      </c>
      <c r="AZ3" s="25" t="str">
        <f>AT3</f>
        <v>Periode 4 (55-60 (72) month)</v>
      </c>
      <c r="BC3" s="25" t="str">
        <f>F3</f>
        <v>Periode 1 (1-18 month)</v>
      </c>
      <c r="BD3" s="25" t="str">
        <f>G3</f>
        <v>Periode 2 (19-36 month)</v>
      </c>
      <c r="BE3" s="25" t="str">
        <f>H3</f>
        <v>Periode 3 (37-54 month)</v>
      </c>
      <c r="BF3" s="25" t="str">
        <f>I3</f>
        <v>Periode 4 (55-60 (72) month)</v>
      </c>
      <c r="BH3" s="45"/>
      <c r="BO3" s="124"/>
      <c r="BP3" s="25" t="str">
        <f>F3</f>
        <v>Periode 1 (1-18 month)</v>
      </c>
      <c r="BQ3" s="25" t="str">
        <f>G3</f>
        <v>Periode 2 (19-36 month)</v>
      </c>
      <c r="BR3" s="25" t="str">
        <f>H3</f>
        <v>Periode 3 (37-54 month)</v>
      </c>
      <c r="BS3" s="25" t="str">
        <f>I3</f>
        <v>Periode 4 (55-60 (72) month)</v>
      </c>
      <c r="BT3" s="25" t="str">
        <f>J3</f>
        <v>Sum årsv</v>
      </c>
      <c r="BV3" s="124"/>
      <c r="BW3" s="25" t="str">
        <f>F3</f>
        <v>Periode 1 (1-18 month)</v>
      </c>
      <c r="BX3" s="25" t="str">
        <f>G3</f>
        <v>Periode 2 (19-36 month)</v>
      </c>
      <c r="BY3" s="25" t="str">
        <f>H3</f>
        <v>Periode 3 (37-54 month)</v>
      </c>
      <c r="BZ3" s="25" t="str">
        <f>I3</f>
        <v>Periode 4 (55-60 (72) month)</v>
      </c>
      <c r="CA3" s="25" t="str">
        <f>J3</f>
        <v>Sum årsv</v>
      </c>
    </row>
    <row r="4" spans="1:79" ht="15" x14ac:dyDescent="0.25">
      <c r="A4" s="284" t="s">
        <v>7</v>
      </c>
      <c r="B4" s="398" t="str">
        <f>VLOOKUP(A4,Tabeller!$W$15:$Z$23,4,FALSE)</f>
        <v xml:space="preserve">Principal investigator </v>
      </c>
      <c r="C4" s="399" t="s">
        <v>225</v>
      </c>
      <c r="D4" s="65">
        <v>80</v>
      </c>
      <c r="E4" s="425"/>
      <c r="F4" s="402"/>
      <c r="G4" s="403"/>
      <c r="H4" s="403"/>
      <c r="I4" s="403"/>
      <c r="J4" s="151">
        <f t="shared" ref="J4:J11" si="0">SUM(F4:I4)</f>
        <v>0</v>
      </c>
      <c r="K4" s="22">
        <f t="shared" ref="K4:K11" si="1">SUM(AL4:AO4)</f>
        <v>0</v>
      </c>
      <c r="L4" s="22">
        <f t="shared" ref="L4:L11" si="2">IFERROR(SUM(AQ4:AT4),0)</f>
        <v>0</v>
      </c>
      <c r="M4" s="22">
        <f t="shared" ref="M4:M11" si="3">SUM(K4:L4)</f>
        <v>0</v>
      </c>
      <c r="O4" s="164"/>
      <c r="W4" s="67"/>
      <c r="X4" s="67"/>
      <c r="Y4" s="67"/>
      <c r="Z4" s="21">
        <f t="shared" ref="Z4:Z11" si="4">D4</f>
        <v>80</v>
      </c>
      <c r="AA4" s="21">
        <f>IF(Budsjett!D4&gt;0,LOOKUP(Budsjett!D4,Tabeller!$A$4:$B$200),LOOKUP(Z4,Tabeller!$A$4:$B$200))</f>
        <v>870900</v>
      </c>
      <c r="AB4" s="21">
        <f>AA4*Tabeller!$I$33</f>
        <v>883963.49999999988</v>
      </c>
      <c r="AC4" s="21">
        <f>AA4*(Tabeller!$I$33)*Tabeller!$L$23</f>
        <v>798196.17796114867</v>
      </c>
      <c r="AD4" s="21">
        <f>AB4*Tabeller!$L$24</f>
        <v>95783.541355337846</v>
      </c>
      <c r="AE4" s="21">
        <f>AB4*Tabeller!$L$26</f>
        <v>142612.11472396253</v>
      </c>
      <c r="AF4" s="21">
        <f>AB4*Tabeller!$L$25</f>
        <v>117453.71844211288</v>
      </c>
      <c r="AG4" s="21">
        <f t="shared" ref="AG4:AG11" si="5">SUM(AC4:AF4)</f>
        <v>1154045.5524825619</v>
      </c>
      <c r="AH4" s="21">
        <f>AG4+(Registrering!$E$27)</f>
        <v>1576325.5524825619</v>
      </c>
      <c r="AI4" s="21">
        <f>AH4/Tabeller!$H$3</f>
        <v>968.25893887135248</v>
      </c>
      <c r="AL4" s="256">
        <f>((F4*Budsjett!$AG4))</f>
        <v>0</v>
      </c>
      <c r="AM4" s="21">
        <f>((G4*Budsjett!$AG4)*(Tabeller!J$33))</f>
        <v>0</v>
      </c>
      <c r="AN4" s="21">
        <f>((H4*Budsjett!$AG4)*(Tabeller!K$33))</f>
        <v>0</v>
      </c>
      <c r="AO4" s="21">
        <f>((I4*Budsjett!$AG4)*(Tabeller!L$33))</f>
        <v>0</v>
      </c>
      <c r="AQ4" s="21">
        <f>IFERROR(AL4*Budsjett!$G$61,0)</f>
        <v>0</v>
      </c>
      <c r="AR4" s="21">
        <f>IFERROR(AM4*Budsjett!$G$61,0)</f>
        <v>0</v>
      </c>
      <c r="AS4" s="21">
        <f>IFERROR(AN4*Budsjett!$G$61,0)</f>
        <v>0</v>
      </c>
      <c r="AT4" s="21">
        <f>IFERROR(AO4*Budsjett!$G$61,0)</f>
        <v>0</v>
      </c>
      <c r="AW4" s="326">
        <f>IFERROR(AL4*Budsjett!$AW$62,0)</f>
        <v>0</v>
      </c>
      <c r="AX4" s="326">
        <f>IFERROR(AM4*Budsjett!$AW$62,0)</f>
        <v>0</v>
      </c>
      <c r="AY4" s="326">
        <f>IFERROR(AN4*Budsjett!$AW$62,0)</f>
        <v>0</v>
      </c>
      <c r="AZ4" s="326">
        <f>IFERROR(AO4*Budsjett!$AW$62,0)</f>
        <v>0</v>
      </c>
      <c r="BB4" s="62"/>
      <c r="BC4" s="21">
        <f t="shared" ref="BC4:BF11" si="6">AQ4-AW4</f>
        <v>0</v>
      </c>
      <c r="BD4" s="21">
        <f t="shared" si="6"/>
        <v>0</v>
      </c>
      <c r="BE4" s="21">
        <f t="shared" si="6"/>
        <v>0</v>
      </c>
      <c r="BF4" s="21">
        <f t="shared" si="6"/>
        <v>0</v>
      </c>
      <c r="BH4" s="200" t="s">
        <v>50</v>
      </c>
      <c r="BI4" s="252">
        <f>AL42+AL54+AQ42</f>
        <v>0</v>
      </c>
      <c r="BJ4" s="201">
        <f>AM42+AM54+AR42</f>
        <v>0</v>
      </c>
      <c r="BK4" s="201">
        <f>AN42+AN54+AS42</f>
        <v>0</v>
      </c>
      <c r="BL4" s="201">
        <f>AO42+AO54+AT42</f>
        <v>0</v>
      </c>
      <c r="BM4" s="201">
        <f>AP42+AP54+AU42</f>
        <v>0</v>
      </c>
      <c r="BO4" s="124" t="str">
        <f t="shared" ref="BO4:BO42" si="7">A4</f>
        <v>Prosjektleder/adm.leder</v>
      </c>
      <c r="BP4" s="21">
        <f t="shared" ref="BP4:BS11" si="8">IF($C4=$BO$1,AL4,0)</f>
        <v>0</v>
      </c>
      <c r="BQ4" s="21">
        <f t="shared" si="8"/>
        <v>0</v>
      </c>
      <c r="BR4" s="21">
        <f t="shared" si="8"/>
        <v>0</v>
      </c>
      <c r="BS4" s="21">
        <f t="shared" si="8"/>
        <v>0</v>
      </c>
      <c r="BT4" s="25">
        <f t="shared" ref="BT4:BT12" si="9">SUM(BP4:BS4)</f>
        <v>0</v>
      </c>
      <c r="BV4" s="124" t="str">
        <f t="shared" ref="BV4:BV42" si="10">A4</f>
        <v>Prosjektleder/adm.leder</v>
      </c>
      <c r="BW4" s="21"/>
      <c r="BX4" s="21"/>
      <c r="BY4" s="21"/>
      <c r="BZ4" s="21"/>
      <c r="CA4" s="25">
        <f t="shared" ref="CA4:CA12" si="11">SUM(BW4:BZ4)</f>
        <v>0</v>
      </c>
    </row>
    <row r="5" spans="1:79" ht="15" x14ac:dyDescent="0.25">
      <c r="A5" s="284"/>
      <c r="B5" s="398" t="e">
        <f>VLOOKUP(A5,Tabeller!$W$15:$Z$23,4,FALSE)</f>
        <v>#N/A</v>
      </c>
      <c r="C5" s="399" t="s">
        <v>225</v>
      </c>
      <c r="D5" s="65">
        <v>70</v>
      </c>
      <c r="E5" s="425"/>
      <c r="F5" s="403"/>
      <c r="G5" s="403"/>
      <c r="H5" s="403"/>
      <c r="I5" s="403"/>
      <c r="J5" s="151">
        <f t="shared" si="0"/>
        <v>0</v>
      </c>
      <c r="K5" s="22">
        <f t="shared" si="1"/>
        <v>0</v>
      </c>
      <c r="L5" s="22">
        <f t="shared" si="2"/>
        <v>0</v>
      </c>
      <c r="M5" s="22">
        <f t="shared" si="3"/>
        <v>0</v>
      </c>
      <c r="Z5" s="21">
        <f t="shared" si="4"/>
        <v>70</v>
      </c>
      <c r="AA5" s="21">
        <f>IF(Budsjett!D5&gt;0,LOOKUP(Budsjett!D5,Tabeller!$A$4:$B$200),LOOKUP(Z5,Tabeller!$A$4:$B$200))</f>
        <v>692400</v>
      </c>
      <c r="AB5" s="21">
        <f>AA5*Tabeller!$I$33</f>
        <v>702785.99999999988</v>
      </c>
      <c r="AC5" s="21">
        <f>AA5*(Tabeller!$I$33)*Tabeller!$L$23</f>
        <v>634597.5813759322</v>
      </c>
      <c r="AD5" s="21">
        <f>AB5*Tabeller!$L$24</f>
        <v>76151.709765111867</v>
      </c>
      <c r="AE5" s="21">
        <f>AB5*Tabeller!$L$26</f>
        <v>113382.28066927506</v>
      </c>
      <c r="AF5" s="21">
        <f>AB5*Tabeller!$L$25</f>
        <v>93380.358995658462</v>
      </c>
      <c r="AG5" s="21">
        <f t="shared" si="5"/>
        <v>917511.93080597767</v>
      </c>
      <c r="AH5" s="21">
        <f>AG5+(Registrering!$E$27)</f>
        <v>1339791.9308059777</v>
      </c>
      <c r="AI5" s="21">
        <f>AH5/Tabeller!$H$3</f>
        <v>822.96801646558822</v>
      </c>
      <c r="AL5" s="256">
        <f>((F5*Budsjett!$AG5))</f>
        <v>0</v>
      </c>
      <c r="AM5" s="21">
        <f>((G5*Budsjett!$AG5)*(Tabeller!J$33))</f>
        <v>0</v>
      </c>
      <c r="AN5" s="21">
        <f>((H5*Budsjett!$AG5)*(Tabeller!K$33))</f>
        <v>0</v>
      </c>
      <c r="AO5" s="21">
        <f>((I5*Budsjett!$AG5)*(Tabeller!L$33))</f>
        <v>0</v>
      </c>
      <c r="AQ5" s="21">
        <f>IFERROR(AL5*Budsjett!$G$61,0)</f>
        <v>0</v>
      </c>
      <c r="AR5" s="21">
        <f>IFERROR(AM5*Budsjett!$G$61,0)</f>
        <v>0</v>
      </c>
      <c r="AS5" s="21">
        <f>IFERROR(AN5*Budsjett!$G$61,0)</f>
        <v>0</v>
      </c>
      <c r="AT5" s="21">
        <f>IFERROR(AO5*Budsjett!$G$61,0)</f>
        <v>0</v>
      </c>
      <c r="AW5" s="326">
        <f>IFERROR(AL5*Budsjett!$AW$62,0)</f>
        <v>0</v>
      </c>
      <c r="AX5" s="326">
        <f>IFERROR(AM5*Budsjett!$AW$62,0)</f>
        <v>0</v>
      </c>
      <c r="AY5" s="326">
        <f>IFERROR(AN5*Budsjett!$AW$62,0)</f>
        <v>0</v>
      </c>
      <c r="AZ5" s="326">
        <f>IFERROR(AO5*Budsjett!$AW$62,0)</f>
        <v>0</v>
      </c>
      <c r="BC5" s="21">
        <f t="shared" si="6"/>
        <v>0</v>
      </c>
      <c r="BD5" s="21">
        <f t="shared" si="6"/>
        <v>0</v>
      </c>
      <c r="BE5" s="21">
        <f t="shared" si="6"/>
        <v>0</v>
      </c>
      <c r="BF5" s="21">
        <f t="shared" si="6"/>
        <v>0</v>
      </c>
      <c r="BH5" s="202" t="s">
        <v>121</v>
      </c>
      <c r="BI5" s="251">
        <f>Finansiering!C9</f>
        <v>0</v>
      </c>
      <c r="BJ5" s="159">
        <f>Finansiering!D9</f>
        <v>0</v>
      </c>
      <c r="BK5" s="159">
        <f>Finansiering!E9</f>
        <v>0</v>
      </c>
      <c r="BL5" s="159">
        <f>Finansiering!F9</f>
        <v>0</v>
      </c>
      <c r="BM5" s="203">
        <f>Finansiering!G9</f>
        <v>0</v>
      </c>
      <c r="BO5" s="124">
        <f t="shared" si="7"/>
        <v>0</v>
      </c>
      <c r="BP5" s="21">
        <f t="shared" si="8"/>
        <v>0</v>
      </c>
      <c r="BQ5" s="21">
        <f t="shared" si="8"/>
        <v>0</v>
      </c>
      <c r="BR5" s="21">
        <f t="shared" si="8"/>
        <v>0</v>
      </c>
      <c r="BS5" s="21">
        <f t="shared" si="8"/>
        <v>0</v>
      </c>
      <c r="BT5" s="25">
        <f t="shared" si="9"/>
        <v>0</v>
      </c>
      <c r="BV5" s="124">
        <f t="shared" si="10"/>
        <v>0</v>
      </c>
      <c r="BW5" s="21"/>
      <c r="BX5" s="21"/>
      <c r="BY5" s="21"/>
      <c r="BZ5" s="21"/>
      <c r="CA5" s="25">
        <f t="shared" si="11"/>
        <v>0</v>
      </c>
    </row>
    <row r="6" spans="1:79" ht="15" x14ac:dyDescent="0.25">
      <c r="A6" s="284"/>
      <c r="B6" s="398" t="e">
        <f>VLOOKUP(A6,Tabeller!$W$15:$Z$23,4,FALSE)</f>
        <v>#N/A</v>
      </c>
      <c r="C6" s="399" t="s">
        <v>225</v>
      </c>
      <c r="D6" s="65">
        <v>70</v>
      </c>
      <c r="E6" s="425"/>
      <c r="F6" s="403"/>
      <c r="G6" s="403"/>
      <c r="H6" s="403"/>
      <c r="I6" s="403"/>
      <c r="J6" s="151">
        <f t="shared" si="0"/>
        <v>0</v>
      </c>
      <c r="K6" s="22">
        <f t="shared" si="1"/>
        <v>0</v>
      </c>
      <c r="L6" s="22">
        <f t="shared" si="2"/>
        <v>0</v>
      </c>
      <c r="M6" s="22">
        <f t="shared" si="3"/>
        <v>0</v>
      </c>
      <c r="Z6" s="21">
        <f t="shared" si="4"/>
        <v>70</v>
      </c>
      <c r="AA6" s="21">
        <f>IF(Budsjett!D6&gt;0,LOOKUP(Budsjett!D6,Tabeller!$A$4:$B$200),LOOKUP(Z6,Tabeller!$A$4:$B$200))</f>
        <v>692400</v>
      </c>
      <c r="AB6" s="21">
        <f>AA6*Tabeller!$I$33</f>
        <v>702785.99999999988</v>
      </c>
      <c r="AC6" s="21">
        <f>AA6*(Tabeller!$I$33)*Tabeller!$L$23</f>
        <v>634597.5813759322</v>
      </c>
      <c r="AD6" s="21">
        <f>AB6*Tabeller!$L$24</f>
        <v>76151.709765111867</v>
      </c>
      <c r="AE6" s="21">
        <f>AB6*Tabeller!$L$26</f>
        <v>113382.28066927506</v>
      </c>
      <c r="AF6" s="21">
        <f>AB6*Tabeller!$L$25</f>
        <v>93380.358995658462</v>
      </c>
      <c r="AG6" s="21">
        <f t="shared" si="5"/>
        <v>917511.93080597767</v>
      </c>
      <c r="AH6" s="21">
        <f>AG6+(Registrering!$E$27)</f>
        <v>1339791.9308059777</v>
      </c>
      <c r="AI6" s="21">
        <f>AH6/Tabeller!$H$3</f>
        <v>822.96801646558822</v>
      </c>
      <c r="AL6" s="256">
        <f>((F6*Budsjett!$AG6))</f>
        <v>0</v>
      </c>
      <c r="AM6" s="21">
        <f>((G6*Budsjett!$AG6)*(Tabeller!J$33))</f>
        <v>0</v>
      </c>
      <c r="AN6" s="21">
        <f>((H6*Budsjett!$AG6)*(Tabeller!K$33))</f>
        <v>0</v>
      </c>
      <c r="AO6" s="21">
        <f>((I6*Budsjett!$AG6)*(Tabeller!L$33))</f>
        <v>0</v>
      </c>
      <c r="AQ6" s="21">
        <f>IFERROR(AL6*Budsjett!$G$61,0)</f>
        <v>0</v>
      </c>
      <c r="AR6" s="21">
        <f>IFERROR(AM6*Budsjett!$G$61,0)</f>
        <v>0</v>
      </c>
      <c r="AS6" s="21">
        <f>IFERROR(AN6*Budsjett!$G$61,0)</f>
        <v>0</v>
      </c>
      <c r="AT6" s="21">
        <f>IFERROR(AO6*Budsjett!$G$61,0)</f>
        <v>0</v>
      </c>
      <c r="AW6" s="326">
        <f>IFERROR(AL6*Budsjett!$AW$62,0)</f>
        <v>0</v>
      </c>
      <c r="AX6" s="326">
        <f>IFERROR(AM6*Budsjett!$AW$62,0)</f>
        <v>0</v>
      </c>
      <c r="AY6" s="326">
        <f>IFERROR(AN6*Budsjett!$AW$62,0)</f>
        <v>0</v>
      </c>
      <c r="AZ6" s="326">
        <f>IFERROR(AO6*Budsjett!$AW$62,0)</f>
        <v>0</v>
      </c>
      <c r="BC6" s="21">
        <f t="shared" si="6"/>
        <v>0</v>
      </c>
      <c r="BD6" s="21">
        <f t="shared" si="6"/>
        <v>0</v>
      </c>
      <c r="BE6" s="21">
        <f t="shared" si="6"/>
        <v>0</v>
      </c>
      <c r="BF6" s="21">
        <f t="shared" si="6"/>
        <v>0</v>
      </c>
      <c r="BH6" s="204" t="s">
        <v>254</v>
      </c>
      <c r="BI6" s="205">
        <f>-BI4-BI5</f>
        <v>0</v>
      </c>
      <c r="BJ6" s="205">
        <f t="shared" ref="BJ6:BL6" si="12">-BJ4-BJ5</f>
        <v>0</v>
      </c>
      <c r="BK6" s="205">
        <f t="shared" si="12"/>
        <v>0</v>
      </c>
      <c r="BL6" s="205">
        <f t="shared" si="12"/>
        <v>0</v>
      </c>
      <c r="BM6" s="206">
        <f>SUM(BI6:BL6)</f>
        <v>0</v>
      </c>
      <c r="BO6" s="124">
        <f t="shared" si="7"/>
        <v>0</v>
      </c>
      <c r="BP6" s="21">
        <f t="shared" si="8"/>
        <v>0</v>
      </c>
      <c r="BQ6" s="21">
        <f t="shared" si="8"/>
        <v>0</v>
      </c>
      <c r="BR6" s="21">
        <f t="shared" si="8"/>
        <v>0</v>
      </c>
      <c r="BS6" s="21">
        <f t="shared" si="8"/>
        <v>0</v>
      </c>
      <c r="BT6" s="25">
        <f t="shared" si="9"/>
        <v>0</v>
      </c>
      <c r="BV6" s="124">
        <f t="shared" si="10"/>
        <v>0</v>
      </c>
      <c r="BW6" s="21"/>
      <c r="BX6" s="21"/>
      <c r="BY6" s="21"/>
      <c r="BZ6" s="21"/>
      <c r="CA6" s="25">
        <f t="shared" si="11"/>
        <v>0</v>
      </c>
    </row>
    <row r="7" spans="1:79" ht="15" x14ac:dyDescent="0.25">
      <c r="A7" s="284"/>
      <c r="B7" s="398" t="e">
        <f>VLOOKUP(A7,Tabeller!$W$15:$Z$23,4,FALSE)</f>
        <v>#N/A</v>
      </c>
      <c r="C7" s="399" t="s">
        <v>225</v>
      </c>
      <c r="D7" s="65">
        <v>70</v>
      </c>
      <c r="E7" s="425"/>
      <c r="F7" s="403"/>
      <c r="G7" s="403"/>
      <c r="H7" s="403"/>
      <c r="I7" s="403"/>
      <c r="J7" s="151">
        <f t="shared" si="0"/>
        <v>0</v>
      </c>
      <c r="K7" s="22">
        <f t="shared" si="1"/>
        <v>0</v>
      </c>
      <c r="L7" s="22">
        <f t="shared" si="2"/>
        <v>0</v>
      </c>
      <c r="M7" s="22">
        <f t="shared" si="3"/>
        <v>0</v>
      </c>
      <c r="Z7" s="21">
        <f t="shared" si="4"/>
        <v>70</v>
      </c>
      <c r="AA7" s="21">
        <f>IF(Budsjett!D7&gt;0,LOOKUP(Budsjett!D7,Tabeller!$A$4:$B$200),LOOKUP(Z7,Tabeller!$A$4:$B$200))</f>
        <v>692400</v>
      </c>
      <c r="AB7" s="21">
        <f>AA7*Tabeller!$I$33</f>
        <v>702785.99999999988</v>
      </c>
      <c r="AC7" s="21">
        <f>AA7*(Tabeller!$I$33)*Tabeller!$L$23</f>
        <v>634597.5813759322</v>
      </c>
      <c r="AD7" s="21">
        <f>AB7*Tabeller!$L$24</f>
        <v>76151.709765111867</v>
      </c>
      <c r="AE7" s="21">
        <f>AB7*Tabeller!$L$26</f>
        <v>113382.28066927506</v>
      </c>
      <c r="AF7" s="21">
        <f>AB7*Tabeller!$L$25</f>
        <v>93380.358995658462</v>
      </c>
      <c r="AG7" s="21">
        <f t="shared" si="5"/>
        <v>917511.93080597767</v>
      </c>
      <c r="AH7" s="21">
        <f>AG7+(Registrering!$E$27)</f>
        <v>1339791.9308059777</v>
      </c>
      <c r="AI7" s="21">
        <f>AH7/Tabeller!$H$3</f>
        <v>822.96801646558822</v>
      </c>
      <c r="AL7" s="256">
        <f>((F7*Budsjett!$AG7))</f>
        <v>0</v>
      </c>
      <c r="AM7" s="21">
        <f>((G7*Budsjett!$AG7)*(Tabeller!J$33))</f>
        <v>0</v>
      </c>
      <c r="AN7" s="21">
        <f>((H7*Budsjett!$AG7)*(Tabeller!K$33))</f>
        <v>0</v>
      </c>
      <c r="AO7" s="21">
        <f>((I7*Budsjett!$AG7)*(Tabeller!L$33))</f>
        <v>0</v>
      </c>
      <c r="AQ7" s="21">
        <f>IFERROR(AL7*Budsjett!$G$61,0)</f>
        <v>0</v>
      </c>
      <c r="AR7" s="21">
        <f>IFERROR(AM7*Budsjett!$G$61,0)</f>
        <v>0</v>
      </c>
      <c r="AS7" s="21">
        <f>IFERROR(AN7*Budsjett!$G$61,0)</f>
        <v>0</v>
      </c>
      <c r="AT7" s="21">
        <f>IFERROR(AO7*Budsjett!$G$61,0)</f>
        <v>0</v>
      </c>
      <c r="AW7" s="326">
        <f>IFERROR(AL7*Budsjett!$AW$62,0)</f>
        <v>0</v>
      </c>
      <c r="AX7" s="326">
        <f>IFERROR(AM7*Budsjett!$AW$62,0)</f>
        <v>0</v>
      </c>
      <c r="AY7" s="326">
        <f>IFERROR(AN7*Budsjett!$AW$62,0)</f>
        <v>0</v>
      </c>
      <c r="AZ7" s="326">
        <f>IFERROR(AO7*Budsjett!$AW$62,0)</f>
        <v>0</v>
      </c>
      <c r="BC7" s="21">
        <f t="shared" si="6"/>
        <v>0</v>
      </c>
      <c r="BD7" s="21">
        <f t="shared" si="6"/>
        <v>0</v>
      </c>
      <c r="BE7" s="21">
        <f t="shared" si="6"/>
        <v>0</v>
      </c>
      <c r="BF7" s="21">
        <f t="shared" si="6"/>
        <v>0</v>
      </c>
      <c r="BO7" s="124">
        <f t="shared" si="7"/>
        <v>0</v>
      </c>
      <c r="BP7" s="21">
        <f t="shared" si="8"/>
        <v>0</v>
      </c>
      <c r="BQ7" s="21">
        <f t="shared" si="8"/>
        <v>0</v>
      </c>
      <c r="BR7" s="21">
        <f t="shared" si="8"/>
        <v>0</v>
      </c>
      <c r="BS7" s="21">
        <f t="shared" si="8"/>
        <v>0</v>
      </c>
      <c r="BT7" s="25">
        <f t="shared" si="9"/>
        <v>0</v>
      </c>
      <c r="BV7" s="124">
        <f t="shared" si="10"/>
        <v>0</v>
      </c>
      <c r="BW7" s="21"/>
      <c r="BX7" s="21"/>
      <c r="BY7" s="21"/>
      <c r="BZ7" s="21"/>
      <c r="CA7" s="25">
        <f t="shared" si="11"/>
        <v>0</v>
      </c>
    </row>
    <row r="8" spans="1:79" ht="15" x14ac:dyDescent="0.25">
      <c r="A8" s="284"/>
      <c r="B8" s="398" t="e">
        <f>VLOOKUP(A8,Tabeller!$W$15:$Z$23,4,FALSE)</f>
        <v>#N/A</v>
      </c>
      <c r="C8" s="399" t="s">
        <v>225</v>
      </c>
      <c r="D8" s="65">
        <v>70</v>
      </c>
      <c r="E8" s="425"/>
      <c r="F8" s="403"/>
      <c r="G8" s="403"/>
      <c r="H8" s="403"/>
      <c r="I8" s="403"/>
      <c r="J8" s="151">
        <f t="shared" si="0"/>
        <v>0</v>
      </c>
      <c r="K8" s="22">
        <f t="shared" si="1"/>
        <v>0</v>
      </c>
      <c r="L8" s="22">
        <f t="shared" si="2"/>
        <v>0</v>
      </c>
      <c r="M8" s="22">
        <f t="shared" si="3"/>
        <v>0</v>
      </c>
      <c r="Z8" s="21">
        <f t="shared" si="4"/>
        <v>70</v>
      </c>
      <c r="AA8" s="21">
        <f>IF(Budsjett!D8&gt;0,LOOKUP(Budsjett!D8,Tabeller!$A$4:$B$200),LOOKUP(Z8,Tabeller!$A$4:$B$200))</f>
        <v>692400</v>
      </c>
      <c r="AB8" s="21">
        <f>AA8*Tabeller!$I$33</f>
        <v>702785.99999999988</v>
      </c>
      <c r="AC8" s="21">
        <f>AA8*(Tabeller!$I$33)*Tabeller!$L$23</f>
        <v>634597.5813759322</v>
      </c>
      <c r="AD8" s="21">
        <f>AB8*Tabeller!$L$24</f>
        <v>76151.709765111867</v>
      </c>
      <c r="AE8" s="21">
        <f>AB8*Tabeller!$L$26</f>
        <v>113382.28066927506</v>
      </c>
      <c r="AF8" s="21">
        <f>AB8*Tabeller!$L$25</f>
        <v>93380.358995658462</v>
      </c>
      <c r="AG8" s="21">
        <f t="shared" si="5"/>
        <v>917511.93080597767</v>
      </c>
      <c r="AH8" s="21">
        <f>AG8+(Registrering!$E$27)</f>
        <v>1339791.9308059777</v>
      </c>
      <c r="AI8" s="21">
        <f>AH8/Tabeller!$H$3</f>
        <v>822.96801646558822</v>
      </c>
      <c r="AL8" s="256">
        <f>((F8*Budsjett!$AG8))</f>
        <v>0</v>
      </c>
      <c r="AM8" s="21">
        <f>((G8*Budsjett!$AG8)*(Tabeller!J$33))</f>
        <v>0</v>
      </c>
      <c r="AN8" s="21">
        <f>((H8*Budsjett!$AG8)*(Tabeller!K$33))</f>
        <v>0</v>
      </c>
      <c r="AO8" s="21">
        <f>((I8*Budsjett!$AG8)*(Tabeller!L$33))</f>
        <v>0</v>
      </c>
      <c r="AQ8" s="21">
        <f>IFERROR(AL8*Budsjett!$G$61,0)</f>
        <v>0</v>
      </c>
      <c r="AR8" s="21">
        <f>IFERROR(AM8*Budsjett!$G$61,0)</f>
        <v>0</v>
      </c>
      <c r="AS8" s="21">
        <f>IFERROR(AN8*Budsjett!$G$61,0)</f>
        <v>0</v>
      </c>
      <c r="AT8" s="21">
        <f>IFERROR(AO8*Budsjett!$G$61,0)</f>
        <v>0</v>
      </c>
      <c r="AW8" s="326">
        <f>IFERROR(AL8*Budsjett!$AW$62,0)</f>
        <v>0</v>
      </c>
      <c r="AX8" s="326">
        <f>IFERROR(AM8*Budsjett!$AW$62,0)</f>
        <v>0</v>
      </c>
      <c r="AY8" s="326">
        <f>IFERROR(AN8*Budsjett!$AW$62,0)</f>
        <v>0</v>
      </c>
      <c r="AZ8" s="326">
        <f>IFERROR(AO8*Budsjett!$AW$62,0)</f>
        <v>0</v>
      </c>
      <c r="BC8" s="21">
        <f t="shared" si="6"/>
        <v>0</v>
      </c>
      <c r="BD8" s="21">
        <f t="shared" si="6"/>
        <v>0</v>
      </c>
      <c r="BE8" s="21">
        <f t="shared" si="6"/>
        <v>0</v>
      </c>
      <c r="BF8" s="21">
        <f t="shared" si="6"/>
        <v>0</v>
      </c>
      <c r="BI8" s="62"/>
      <c r="BM8" s="62">
        <f>BM4+BM5</f>
        <v>0</v>
      </c>
      <c r="BO8" s="124">
        <f t="shared" si="7"/>
        <v>0</v>
      </c>
      <c r="BP8" s="21">
        <f t="shared" si="8"/>
        <v>0</v>
      </c>
      <c r="BQ8" s="21">
        <f t="shared" si="8"/>
        <v>0</v>
      </c>
      <c r="BR8" s="21">
        <f t="shared" si="8"/>
        <v>0</v>
      </c>
      <c r="BS8" s="21">
        <f t="shared" si="8"/>
        <v>0</v>
      </c>
      <c r="BT8" s="25">
        <f t="shared" si="9"/>
        <v>0</v>
      </c>
      <c r="BV8" s="124">
        <f t="shared" si="10"/>
        <v>0</v>
      </c>
      <c r="BW8" s="21"/>
      <c r="BX8" s="21"/>
      <c r="BY8" s="21"/>
      <c r="BZ8" s="21"/>
      <c r="CA8" s="25">
        <f t="shared" si="11"/>
        <v>0</v>
      </c>
    </row>
    <row r="9" spans="1:79" ht="15" x14ac:dyDescent="0.25">
      <c r="A9" s="284"/>
      <c r="B9" s="398" t="e">
        <f>VLOOKUP(A9,Tabeller!$W$15:$Z$23,4,FALSE)</f>
        <v>#N/A</v>
      </c>
      <c r="C9" s="399" t="s">
        <v>225</v>
      </c>
      <c r="D9" s="65">
        <v>70</v>
      </c>
      <c r="E9" s="425"/>
      <c r="F9" s="403"/>
      <c r="G9" s="403"/>
      <c r="H9" s="403"/>
      <c r="I9" s="403"/>
      <c r="J9" s="151">
        <f t="shared" si="0"/>
        <v>0</v>
      </c>
      <c r="K9" s="22">
        <f t="shared" si="1"/>
        <v>0</v>
      </c>
      <c r="L9" s="22">
        <f t="shared" si="2"/>
        <v>0</v>
      </c>
      <c r="M9" s="22">
        <f t="shared" si="3"/>
        <v>0</v>
      </c>
      <c r="Z9" s="21">
        <f t="shared" si="4"/>
        <v>70</v>
      </c>
      <c r="AA9" s="21">
        <f>IF(Budsjett!D9&gt;0,LOOKUP(Budsjett!D9,Tabeller!$A$4:$B$200),LOOKUP(Z9,Tabeller!$A$4:$B$200))</f>
        <v>692400</v>
      </c>
      <c r="AB9" s="21">
        <f>AA9*Tabeller!$I$33</f>
        <v>702785.99999999988</v>
      </c>
      <c r="AC9" s="21">
        <f>AA9*(Tabeller!$I$33)*Tabeller!$L$23</f>
        <v>634597.5813759322</v>
      </c>
      <c r="AD9" s="21">
        <f>AB9*Tabeller!$L$24</f>
        <v>76151.709765111867</v>
      </c>
      <c r="AE9" s="21">
        <f>AB9*Tabeller!$L$26</f>
        <v>113382.28066927506</v>
      </c>
      <c r="AF9" s="21">
        <f>AB9*Tabeller!$L$25</f>
        <v>93380.358995658462</v>
      </c>
      <c r="AG9" s="21">
        <f t="shared" si="5"/>
        <v>917511.93080597767</v>
      </c>
      <c r="AH9" s="21">
        <f>AG9+(Registrering!$E$27)</f>
        <v>1339791.9308059777</v>
      </c>
      <c r="AI9" s="21">
        <f>AH9/Tabeller!$H$3</f>
        <v>822.96801646558822</v>
      </c>
      <c r="AL9" s="256">
        <f>((F9*Budsjett!$AG9))</f>
        <v>0</v>
      </c>
      <c r="AM9" s="21">
        <f>((G9*Budsjett!$AG9)*(Tabeller!J$33))</f>
        <v>0</v>
      </c>
      <c r="AN9" s="21">
        <f>((H9*Budsjett!$AG9)*(Tabeller!K$33))</f>
        <v>0</v>
      </c>
      <c r="AO9" s="21">
        <f>((I9*Budsjett!$AG9)*(Tabeller!L$33))</f>
        <v>0</v>
      </c>
      <c r="AQ9" s="21">
        <f>IFERROR(AL9*Budsjett!$G$61,0)</f>
        <v>0</v>
      </c>
      <c r="AR9" s="21">
        <f>IFERROR(AM9*Budsjett!$G$61,0)</f>
        <v>0</v>
      </c>
      <c r="AS9" s="21">
        <f>IFERROR(AN9*Budsjett!$G$61,0)</f>
        <v>0</v>
      </c>
      <c r="AT9" s="21">
        <f>IFERROR(AO9*Budsjett!$G$61,0)</f>
        <v>0</v>
      </c>
      <c r="AW9" s="326">
        <f>IFERROR(AL9*Budsjett!$AW$62,0)</f>
        <v>0</v>
      </c>
      <c r="AX9" s="326">
        <f>IFERROR(AM9*Budsjett!$AW$62,0)</f>
        <v>0</v>
      </c>
      <c r="AY9" s="326">
        <f>IFERROR(AN9*Budsjett!$AW$62,0)</f>
        <v>0</v>
      </c>
      <c r="AZ9" s="326">
        <f>IFERROR(AO9*Budsjett!$AW$62,0)</f>
        <v>0</v>
      </c>
      <c r="BC9" s="21">
        <f t="shared" si="6"/>
        <v>0</v>
      </c>
      <c r="BD9" s="21">
        <f t="shared" si="6"/>
        <v>0</v>
      </c>
      <c r="BE9" s="21">
        <f t="shared" si="6"/>
        <v>0</v>
      </c>
      <c r="BF9" s="21">
        <f t="shared" si="6"/>
        <v>0</v>
      </c>
      <c r="BH9" s="45"/>
      <c r="BI9" s="62"/>
      <c r="BM9" s="62">
        <f>BM6+BM8</f>
        <v>0</v>
      </c>
      <c r="BO9" s="124">
        <f t="shared" si="7"/>
        <v>0</v>
      </c>
      <c r="BP9" s="21">
        <f t="shared" si="8"/>
        <v>0</v>
      </c>
      <c r="BQ9" s="21">
        <f t="shared" si="8"/>
        <v>0</v>
      </c>
      <c r="BR9" s="21">
        <f t="shared" si="8"/>
        <v>0</v>
      </c>
      <c r="BS9" s="21">
        <f t="shared" si="8"/>
        <v>0</v>
      </c>
      <c r="BT9" s="25">
        <f t="shared" si="9"/>
        <v>0</v>
      </c>
      <c r="BV9" s="124">
        <f t="shared" si="10"/>
        <v>0</v>
      </c>
      <c r="BW9" s="21"/>
      <c r="BX9" s="21"/>
      <c r="BY9" s="21"/>
      <c r="BZ9" s="21"/>
      <c r="CA9" s="25">
        <f t="shared" si="11"/>
        <v>0</v>
      </c>
    </row>
    <row r="10" spans="1:79" ht="15" x14ac:dyDescent="0.25">
      <c r="A10" s="284"/>
      <c r="B10" s="398" t="e">
        <f>VLOOKUP(A10,Tabeller!$W$15:$Z$23,4,FALSE)</f>
        <v>#N/A</v>
      </c>
      <c r="C10" s="400" t="s">
        <v>225</v>
      </c>
      <c r="D10" s="65">
        <v>70</v>
      </c>
      <c r="E10" s="425"/>
      <c r="F10" s="403"/>
      <c r="G10" s="403"/>
      <c r="H10" s="403"/>
      <c r="I10" s="403"/>
      <c r="J10" s="151">
        <f t="shared" si="0"/>
        <v>0</v>
      </c>
      <c r="K10" s="22">
        <f t="shared" si="1"/>
        <v>0</v>
      </c>
      <c r="L10" s="22">
        <f t="shared" si="2"/>
        <v>0</v>
      </c>
      <c r="M10" s="22">
        <f t="shared" si="3"/>
        <v>0</v>
      </c>
      <c r="Z10" s="21">
        <f t="shared" si="4"/>
        <v>70</v>
      </c>
      <c r="AA10" s="21">
        <f>IF(Budsjett!D10&gt;0,LOOKUP(Budsjett!D10,Tabeller!$A$4:$B$200),LOOKUP(Z10,Tabeller!$A$4:$B$200))</f>
        <v>692400</v>
      </c>
      <c r="AB10" s="21">
        <f>AA10*Tabeller!$I$33</f>
        <v>702785.99999999988</v>
      </c>
      <c r="AC10" s="21">
        <f>AA10*(Tabeller!$I$33)*Tabeller!$L$23</f>
        <v>634597.5813759322</v>
      </c>
      <c r="AD10" s="21">
        <f>AB10*Tabeller!$L$24</f>
        <v>76151.709765111867</v>
      </c>
      <c r="AE10" s="21">
        <f>AB10*Tabeller!$L$26</f>
        <v>113382.28066927506</v>
      </c>
      <c r="AF10" s="21">
        <f>AB10*Tabeller!$L$25</f>
        <v>93380.358995658462</v>
      </c>
      <c r="AG10" s="21">
        <f t="shared" si="5"/>
        <v>917511.93080597767</v>
      </c>
      <c r="AH10" s="21">
        <f>AG10+(Registrering!$E$27)</f>
        <v>1339791.9308059777</v>
      </c>
      <c r="AI10" s="21">
        <f>AH10/Tabeller!$H$3</f>
        <v>822.96801646558822</v>
      </c>
      <c r="AL10" s="256">
        <f>((F10*Budsjett!$AG10))</f>
        <v>0</v>
      </c>
      <c r="AM10" s="21">
        <f>((G10*Budsjett!$AG10)*(Tabeller!J$33))</f>
        <v>0</v>
      </c>
      <c r="AN10" s="21">
        <f>((H10*Budsjett!$AG10)*(Tabeller!K$33))</f>
        <v>0</v>
      </c>
      <c r="AO10" s="21">
        <f>((I10*Budsjett!$AG10)*(Tabeller!L$33))</f>
        <v>0</v>
      </c>
      <c r="AQ10" s="21">
        <f>IFERROR(AL10*Budsjett!$G$61,0)</f>
        <v>0</v>
      </c>
      <c r="AR10" s="21">
        <f>IFERROR(AM10*Budsjett!$G$61,0)</f>
        <v>0</v>
      </c>
      <c r="AS10" s="21">
        <f>IFERROR(AN10*Budsjett!$G$61,0)</f>
        <v>0</v>
      </c>
      <c r="AT10" s="21">
        <f>IFERROR(AO10*Budsjett!$G$61,0)</f>
        <v>0</v>
      </c>
      <c r="AW10" s="326">
        <f>IFERROR(AL10*Budsjett!$AW$62,0)</f>
        <v>0</v>
      </c>
      <c r="AX10" s="326">
        <f>IFERROR(AM10*Budsjett!$AW$62,0)</f>
        <v>0</v>
      </c>
      <c r="AY10" s="326">
        <f>IFERROR(AN10*Budsjett!$AW$62,0)</f>
        <v>0</v>
      </c>
      <c r="AZ10" s="326">
        <f>IFERROR(AO10*Budsjett!$AW$62,0)</f>
        <v>0</v>
      </c>
      <c r="BC10" s="21">
        <f t="shared" si="6"/>
        <v>0</v>
      </c>
      <c r="BD10" s="21">
        <f t="shared" si="6"/>
        <v>0</v>
      </c>
      <c r="BE10" s="21">
        <f t="shared" si="6"/>
        <v>0</v>
      </c>
      <c r="BF10" s="21">
        <f t="shared" si="6"/>
        <v>0</v>
      </c>
      <c r="BH10" s="62"/>
      <c r="BI10" s="62"/>
      <c r="BO10" s="124">
        <f t="shared" si="7"/>
        <v>0</v>
      </c>
      <c r="BP10" s="21">
        <f t="shared" si="8"/>
        <v>0</v>
      </c>
      <c r="BQ10" s="21">
        <f t="shared" si="8"/>
        <v>0</v>
      </c>
      <c r="BR10" s="21">
        <f t="shared" si="8"/>
        <v>0</v>
      </c>
      <c r="BS10" s="21">
        <f t="shared" si="8"/>
        <v>0</v>
      </c>
      <c r="BT10" s="25">
        <f t="shared" si="9"/>
        <v>0</v>
      </c>
      <c r="BV10" s="124">
        <f t="shared" si="10"/>
        <v>0</v>
      </c>
      <c r="BW10" s="21"/>
      <c r="BX10" s="21"/>
      <c r="BY10" s="21"/>
      <c r="BZ10" s="21"/>
      <c r="CA10" s="25">
        <f t="shared" si="11"/>
        <v>0</v>
      </c>
    </row>
    <row r="11" spans="1:79" ht="15" x14ac:dyDescent="0.25">
      <c r="A11" s="284"/>
      <c r="B11" s="398" t="e">
        <f>VLOOKUP(A11,Tabeller!$W$15:$Z$23,4,FALSE)</f>
        <v>#N/A</v>
      </c>
      <c r="C11" s="399" t="s">
        <v>225</v>
      </c>
      <c r="D11" s="65">
        <v>70</v>
      </c>
      <c r="E11" s="425"/>
      <c r="F11" s="403"/>
      <c r="G11" s="403"/>
      <c r="H11" s="403"/>
      <c r="I11" s="403"/>
      <c r="J11" s="152">
        <f t="shared" si="0"/>
        <v>0</v>
      </c>
      <c r="K11" s="39">
        <f t="shared" si="1"/>
        <v>0</v>
      </c>
      <c r="L11" s="22">
        <f t="shared" si="2"/>
        <v>0</v>
      </c>
      <c r="M11" s="39">
        <f t="shared" si="3"/>
        <v>0</v>
      </c>
      <c r="Z11" s="21">
        <f t="shared" si="4"/>
        <v>70</v>
      </c>
      <c r="AA11" s="21">
        <f>IF(Budsjett!D11&gt;0,LOOKUP(Budsjett!D11,Tabeller!$A$4:$B$200),LOOKUP(Z11,Tabeller!$A$4:$B$200))</f>
        <v>692400</v>
      </c>
      <c r="AB11" s="21">
        <f>AA11*Tabeller!$I$33</f>
        <v>702785.99999999988</v>
      </c>
      <c r="AC11" s="21">
        <f>AA11*(Tabeller!$I$33)*Tabeller!$L$23</f>
        <v>634597.5813759322</v>
      </c>
      <c r="AD11" s="21">
        <f>AB11*Tabeller!$L$24</f>
        <v>76151.709765111867</v>
      </c>
      <c r="AE11" s="21">
        <f>AB11*Tabeller!$L$26</f>
        <v>113382.28066927506</v>
      </c>
      <c r="AF11" s="21">
        <f>AB11*Tabeller!$L$25</f>
        <v>93380.358995658462</v>
      </c>
      <c r="AG11" s="21">
        <f t="shared" si="5"/>
        <v>917511.93080597767</v>
      </c>
      <c r="AH11" s="21">
        <f>AG11+(Registrering!$E$27)</f>
        <v>1339791.9308059777</v>
      </c>
      <c r="AI11" s="21">
        <f>AH11/Tabeller!$H$3</f>
        <v>822.96801646558822</v>
      </c>
      <c r="AL11" s="256">
        <f>((F11*Budsjett!$AG11))</f>
        <v>0</v>
      </c>
      <c r="AM11" s="21">
        <f>((G11*Budsjett!$AG11)*(Tabeller!J$33))</f>
        <v>0</v>
      </c>
      <c r="AN11" s="21">
        <f>((H11*Budsjett!$AG11)*(Tabeller!K$33))</f>
        <v>0</v>
      </c>
      <c r="AO11" s="21">
        <f>((I11*Budsjett!$AG11)*(Tabeller!L$33))</f>
        <v>0</v>
      </c>
      <c r="AQ11" s="21">
        <f>IFERROR(AL11*Budsjett!$G$61,0)</f>
        <v>0</v>
      </c>
      <c r="AR11" s="21">
        <f>IFERROR(AM11*Budsjett!$G$61,0)</f>
        <v>0</v>
      </c>
      <c r="AS11" s="21">
        <f>IFERROR(AN11*Budsjett!$G$61,0)</f>
        <v>0</v>
      </c>
      <c r="AT11" s="21">
        <f>IFERROR(AO11*Budsjett!$G$61,0)</f>
        <v>0</v>
      </c>
      <c r="AW11" s="326">
        <f>IFERROR(AL11*Budsjett!$AW$62,0)</f>
        <v>0</v>
      </c>
      <c r="AX11" s="326">
        <f>IFERROR(AM11*Budsjett!$AW$62,0)</f>
        <v>0</v>
      </c>
      <c r="AY11" s="326">
        <f>IFERROR(AN11*Budsjett!$AW$62,0)</f>
        <v>0</v>
      </c>
      <c r="AZ11" s="326">
        <f>IFERROR(AO11*Budsjett!$AW$62,0)</f>
        <v>0</v>
      </c>
      <c r="BC11" s="21">
        <f t="shared" si="6"/>
        <v>0</v>
      </c>
      <c r="BD11" s="21">
        <f t="shared" si="6"/>
        <v>0</v>
      </c>
      <c r="BE11" s="21">
        <f t="shared" si="6"/>
        <v>0</v>
      </c>
      <c r="BF11" s="21">
        <f t="shared" si="6"/>
        <v>0</v>
      </c>
      <c r="BH11" s="62"/>
      <c r="BI11" s="67"/>
      <c r="BO11" s="124">
        <f t="shared" si="7"/>
        <v>0</v>
      </c>
      <c r="BP11" s="21">
        <f t="shared" si="8"/>
        <v>0</v>
      </c>
      <c r="BQ11" s="21">
        <f t="shared" si="8"/>
        <v>0</v>
      </c>
      <c r="BR11" s="21">
        <f t="shared" si="8"/>
        <v>0</v>
      </c>
      <c r="BS11" s="21">
        <f t="shared" si="8"/>
        <v>0</v>
      </c>
      <c r="BT11" s="25">
        <f t="shared" si="9"/>
        <v>0</v>
      </c>
      <c r="BV11" s="124">
        <f t="shared" si="10"/>
        <v>0</v>
      </c>
      <c r="BW11" s="21"/>
      <c r="BX11" s="21"/>
      <c r="BY11" s="21"/>
      <c r="BZ11" s="21"/>
      <c r="CA11" s="25">
        <f t="shared" si="11"/>
        <v>0</v>
      </c>
    </row>
    <row r="12" spans="1:79" ht="15" x14ac:dyDescent="0.25">
      <c r="A12" s="31" t="s">
        <v>0</v>
      </c>
      <c r="B12" s="31"/>
      <c r="C12" s="31"/>
      <c r="D12" s="31"/>
      <c r="E12" s="32"/>
      <c r="F12" s="149">
        <f t="shared" ref="F12:M12" si="13">SUM(F4:F11)</f>
        <v>0</v>
      </c>
      <c r="G12" s="149">
        <f t="shared" si="13"/>
        <v>0</v>
      </c>
      <c r="H12" s="149">
        <f t="shared" si="13"/>
        <v>0</v>
      </c>
      <c r="I12" s="149">
        <f t="shared" si="13"/>
        <v>0</v>
      </c>
      <c r="J12" s="150">
        <f t="shared" si="13"/>
        <v>0</v>
      </c>
      <c r="K12" s="38">
        <f t="shared" si="13"/>
        <v>0</v>
      </c>
      <c r="L12" s="38">
        <f t="shared" si="13"/>
        <v>0</v>
      </c>
      <c r="M12" s="38">
        <f t="shared" si="13"/>
        <v>0</v>
      </c>
      <c r="AL12" s="25">
        <f>SUM(AL4:AL11)</f>
        <v>0</v>
      </c>
      <c r="AM12" s="25">
        <f>SUM(AM4:AM11)</f>
        <v>0</v>
      </c>
      <c r="AN12" s="25">
        <f>SUM(AN4:AN11)</f>
        <v>0</v>
      </c>
      <c r="AO12" s="25">
        <f>SUM(AO4:AO11)</f>
        <v>0</v>
      </c>
      <c r="AP12" s="62">
        <f>SUM(AL12:AO12)</f>
        <v>0</v>
      </c>
      <c r="AQ12" s="25">
        <f>SUM(AQ4:AQ11)</f>
        <v>0</v>
      </c>
      <c r="AR12" s="25">
        <f>SUM(AR4:AR11)</f>
        <v>0</v>
      </c>
      <c r="AS12" s="25">
        <f>SUM(AS4:AS11)</f>
        <v>0</v>
      </c>
      <c r="AT12" s="25">
        <f>SUM(AT4:AT11)</f>
        <v>0</v>
      </c>
      <c r="AU12" s="62">
        <f>SUM(AQ12:AT12)</f>
        <v>0</v>
      </c>
      <c r="AW12" s="25">
        <f>SUM(AW4:AW11)</f>
        <v>0</v>
      </c>
      <c r="AX12" s="25">
        <f>SUM(AX4:AX11)</f>
        <v>0</v>
      </c>
      <c r="AY12" s="25">
        <f>SUM(AY4:AY11)</f>
        <v>0</v>
      </c>
      <c r="AZ12" s="25">
        <f>SUM(AZ4:AZ11)</f>
        <v>0</v>
      </c>
      <c r="BA12" s="62"/>
      <c r="BB12" s="62"/>
      <c r="BC12" s="25">
        <f>SUM(BC4:BC11)</f>
        <v>0</v>
      </c>
      <c r="BD12" s="25">
        <f>SUM(BD4:BD11)</f>
        <v>0</v>
      </c>
      <c r="BE12" s="25">
        <f>SUM(BE4:BE11)</f>
        <v>0</v>
      </c>
      <c r="BF12" s="25">
        <f>SUM(BF4:BF11)</f>
        <v>0</v>
      </c>
      <c r="BG12" s="62"/>
      <c r="BI12" s="62"/>
      <c r="BO12" s="124" t="str">
        <f t="shared" si="7"/>
        <v>Sum</v>
      </c>
      <c r="BP12" s="25">
        <f>SUM(BP4:BP11)</f>
        <v>0</v>
      </c>
      <c r="BQ12" s="25">
        <f>SUM(BQ4:BQ11)</f>
        <v>0</v>
      </c>
      <c r="BR12" s="25">
        <f>SUM(BR4:BR11)</f>
        <v>0</v>
      </c>
      <c r="BS12" s="25">
        <f>SUM(BS4:BS11)</f>
        <v>0</v>
      </c>
      <c r="BT12" s="25">
        <f t="shared" si="9"/>
        <v>0</v>
      </c>
      <c r="BV12" s="124" t="str">
        <f t="shared" si="10"/>
        <v>Sum</v>
      </c>
      <c r="BW12" s="25">
        <f>SUM(BW4:BW11)</f>
        <v>0</v>
      </c>
      <c r="BX12" s="25">
        <f>SUM(BX4:BX11)</f>
        <v>0</v>
      </c>
      <c r="BY12" s="25">
        <f>SUM(BY4:BY11)</f>
        <v>0</v>
      </c>
      <c r="BZ12" s="25">
        <f>SUM(BZ4:BZ11)</f>
        <v>0</v>
      </c>
      <c r="CA12" s="25">
        <f t="shared" si="11"/>
        <v>0</v>
      </c>
    </row>
    <row r="13" spans="1:79" ht="21" x14ac:dyDescent="0.35">
      <c r="A13" s="55" t="s">
        <v>64</v>
      </c>
      <c r="B13" s="55"/>
      <c r="C13" s="49"/>
      <c r="D13" s="49"/>
      <c r="F13" s="61" t="s">
        <v>109</v>
      </c>
      <c r="BO13" s="124" t="str">
        <f t="shared" si="7"/>
        <v>Eksisterende ansatte - dekkes av prosjektbevilgning</v>
      </c>
      <c r="BV13" s="124" t="str">
        <f t="shared" si="10"/>
        <v>Eksisterende ansatte - dekkes av prosjektbevilgning</v>
      </c>
    </row>
    <row r="14" spans="1:79" ht="15" x14ac:dyDescent="0.25">
      <c r="A14" s="125" t="s">
        <v>67</v>
      </c>
      <c r="B14" s="393" t="s">
        <v>352</v>
      </c>
      <c r="C14" s="125"/>
      <c r="D14" s="125" t="s">
        <v>35</v>
      </c>
      <c r="E14" s="125" t="s">
        <v>58</v>
      </c>
      <c r="F14" s="126" t="str">
        <f>F3</f>
        <v>Periode 1 (1-18 month)</v>
      </c>
      <c r="G14" s="126" t="str">
        <f>G3</f>
        <v>Periode 2 (19-36 month)</v>
      </c>
      <c r="H14" s="126" t="str">
        <f>H3</f>
        <v>Periode 3 (37-54 month)</v>
      </c>
      <c r="I14" s="126" t="str">
        <f>I3</f>
        <v>Periode 4 (55-60 (72) month)</v>
      </c>
      <c r="J14" s="127" t="s">
        <v>0</v>
      </c>
      <c r="K14" s="127" t="s">
        <v>235</v>
      </c>
      <c r="L14" s="127" t="s">
        <v>60</v>
      </c>
      <c r="M14" s="127" t="s">
        <v>61</v>
      </c>
      <c r="Z14" s="63" t="s">
        <v>48</v>
      </c>
      <c r="AA14" s="64" t="s">
        <v>2</v>
      </c>
      <c r="AB14" s="64" t="s">
        <v>169</v>
      </c>
      <c r="AC14" s="64" t="s">
        <v>26</v>
      </c>
      <c r="AD14" s="64" t="s">
        <v>31</v>
      </c>
      <c r="AE14" s="64" t="s">
        <v>27</v>
      </c>
      <c r="AF14" s="64" t="s">
        <v>28</v>
      </c>
      <c r="AG14" s="64" t="s">
        <v>21</v>
      </c>
      <c r="AH14" s="64" t="s">
        <v>22</v>
      </c>
      <c r="AI14" s="64" t="s">
        <v>19</v>
      </c>
      <c r="AL14" s="25" t="str">
        <f>F14</f>
        <v>Periode 1 (1-18 month)</v>
      </c>
      <c r="AM14" s="25" t="str">
        <f>G14</f>
        <v>Periode 2 (19-36 month)</v>
      </c>
      <c r="AN14" s="25" t="str">
        <f>H14</f>
        <v>Periode 3 (37-54 month)</v>
      </c>
      <c r="AO14" s="25" t="str">
        <f>I14</f>
        <v>Periode 4 (55-60 (72) month)</v>
      </c>
      <c r="AQ14" s="21" t="str">
        <f>AL14</f>
        <v>Periode 1 (1-18 month)</v>
      </c>
      <c r="AR14" s="21" t="str">
        <f>AM14</f>
        <v>Periode 2 (19-36 month)</v>
      </c>
      <c r="AS14" s="21" t="str">
        <f>AN14</f>
        <v>Periode 3 (37-54 month)</v>
      </c>
      <c r="AT14" s="21" t="str">
        <f>AO14</f>
        <v>Periode 4 (55-60 (72) month)</v>
      </c>
      <c r="AW14" s="25" t="str">
        <f>AQ14</f>
        <v>Periode 1 (1-18 month)</v>
      </c>
      <c r="AX14" s="25" t="str">
        <f>AR14</f>
        <v>Periode 2 (19-36 month)</v>
      </c>
      <c r="AY14" s="25" t="str">
        <f>AS14</f>
        <v>Periode 3 (37-54 month)</v>
      </c>
      <c r="AZ14" s="25" t="str">
        <f>AT14</f>
        <v>Periode 4 (55-60 (72) month)</v>
      </c>
      <c r="BC14" s="25" t="str">
        <f>F3</f>
        <v>Periode 1 (1-18 month)</v>
      </c>
      <c r="BD14" s="25" t="str">
        <f>G3</f>
        <v>Periode 2 (19-36 month)</v>
      </c>
      <c r="BE14" s="25" t="str">
        <f>H3</f>
        <v>Periode 3 (37-54 month)</v>
      </c>
      <c r="BF14" s="25" t="str">
        <f>I3</f>
        <v>Periode 4 (55-60 (72) month)</v>
      </c>
      <c r="BO14" s="124" t="str">
        <f t="shared" si="7"/>
        <v>Frikjøp art 5892</v>
      </c>
      <c r="BP14" s="25" t="str">
        <f>BP3</f>
        <v>Periode 1 (1-18 month)</v>
      </c>
      <c r="BQ14" s="25" t="str">
        <f>BQ3</f>
        <v>Periode 2 (19-36 month)</v>
      </c>
      <c r="BR14" s="25" t="str">
        <f>BR3</f>
        <v>Periode 3 (37-54 month)</v>
      </c>
      <c r="BS14" s="25" t="str">
        <f>BS3</f>
        <v>Periode 4 (55-60 (72) month)</v>
      </c>
      <c r="BT14" s="25" t="str">
        <f>BT3</f>
        <v>Sum årsv</v>
      </c>
      <c r="BV14" s="124" t="str">
        <f t="shared" si="10"/>
        <v>Frikjøp art 5892</v>
      </c>
      <c r="BW14" s="25" t="str">
        <f>BW3</f>
        <v>Periode 1 (1-18 month)</v>
      </c>
      <c r="BX14" s="25" t="str">
        <f>BX3</f>
        <v>Periode 2 (19-36 month)</v>
      </c>
      <c r="BY14" s="25" t="str">
        <f>BY3</f>
        <v>Periode 3 (37-54 month)</v>
      </c>
      <c r="BZ14" s="25" t="str">
        <f>BZ3</f>
        <v>Periode 4 (55-60 (72) month)</v>
      </c>
      <c r="CA14" s="25" t="str">
        <f>CA3</f>
        <v>Sum årsv</v>
      </c>
    </row>
    <row r="15" spans="1:79" ht="15" x14ac:dyDescent="0.25">
      <c r="A15" s="284"/>
      <c r="B15" s="398" t="e">
        <f>VLOOKUP(A15,Tabeller!$W$15:$Z$23,4,FALSE)</f>
        <v>#N/A</v>
      </c>
      <c r="C15" s="399" t="s">
        <v>225</v>
      </c>
      <c r="D15" s="65">
        <v>70</v>
      </c>
      <c r="E15" s="66"/>
      <c r="F15" s="403"/>
      <c r="G15" s="403"/>
      <c r="H15" s="403"/>
      <c r="I15" s="403"/>
      <c r="J15" s="151">
        <f>SUM(F15:I15)</f>
        <v>0</v>
      </c>
      <c r="K15" s="22">
        <f>SUM(AL15:AO15)</f>
        <v>0</v>
      </c>
      <c r="L15" s="22">
        <f>IFERROR(SUM(AQ15:AT15),0)</f>
        <v>0</v>
      </c>
      <c r="M15" s="22">
        <f>SUM(K15:L15)</f>
        <v>0</v>
      </c>
      <c r="Z15" s="21">
        <f>D15</f>
        <v>70</v>
      </c>
      <c r="AA15" s="21">
        <f>IF(Budsjett!D15&gt;0,LOOKUP(Budsjett!D15,Tabeller!$A$4:$B$200),LOOKUP(Z15,Tabeller!$A$4:$B$200))</f>
        <v>692400</v>
      </c>
      <c r="AB15" s="21">
        <f>AA15*Tabeller!$I$33</f>
        <v>702785.99999999988</v>
      </c>
      <c r="AC15" s="21">
        <f>AA15*(Tabeller!$I$33)*Tabeller!$L$23</f>
        <v>634597.5813759322</v>
      </c>
      <c r="AD15" s="21">
        <f>AB15*Tabeller!$L$24</f>
        <v>76151.709765111867</v>
      </c>
      <c r="AE15" s="21">
        <f>AB15*Tabeller!$L$26</f>
        <v>113382.28066927506</v>
      </c>
      <c r="AF15" s="21">
        <f>AB15*Tabeller!$L$25</f>
        <v>93380.358995658462</v>
      </c>
      <c r="AG15" s="21">
        <f>SUM(AC15:AF15)</f>
        <v>917511.93080597767</v>
      </c>
      <c r="AH15" s="21">
        <f>AG15+(Registrering!$E$27)</f>
        <v>1339791.9308059777</v>
      </c>
      <c r="AI15" s="21">
        <f>AH15/Tabeller!$H$3</f>
        <v>822.96801646558822</v>
      </c>
      <c r="AL15" s="256">
        <f>((F15*Budsjett!$AG15))</f>
        <v>0</v>
      </c>
      <c r="AM15" s="21">
        <f>((G15*Budsjett!$AG15)*(Tabeller!J$33))</f>
        <v>0</v>
      </c>
      <c r="AN15" s="21">
        <f>((H15*Budsjett!$AG15)*(Tabeller!K$33))</f>
        <v>0</v>
      </c>
      <c r="AO15" s="21">
        <f>((I15*Budsjett!$AG15)*(Tabeller!L$33))</f>
        <v>0</v>
      </c>
      <c r="AQ15" s="21">
        <f>IFERROR(AL15*Budsjett!$G$61,0)</f>
        <v>0</v>
      </c>
      <c r="AR15" s="21">
        <f>IFERROR(AM15*Budsjett!$G$61,0)</f>
        <v>0</v>
      </c>
      <c r="AS15" s="21">
        <f>IFERROR(AN15*Budsjett!$G$61,0)</f>
        <v>0</v>
      </c>
      <c r="AT15" s="21">
        <f>IFERROR(AO15*Budsjett!$G$61,0)</f>
        <v>0</v>
      </c>
      <c r="AW15" s="326">
        <f>IFERROR(AL15*Budsjett!$AW$62,0)</f>
        <v>0</v>
      </c>
      <c r="AX15" s="326">
        <f>IFERROR(AM15*Budsjett!$AW$62,0)</f>
        <v>0</v>
      </c>
      <c r="AY15" s="326">
        <f>IFERROR(AN15*Budsjett!$AW$62,0)</f>
        <v>0</v>
      </c>
      <c r="AZ15" s="326">
        <f>IFERROR(AO15*Budsjett!$AW$62,0)</f>
        <v>0</v>
      </c>
      <c r="BC15" s="21">
        <f t="shared" ref="BC15:BF19" si="14">AQ15-AW15</f>
        <v>0</v>
      </c>
      <c r="BD15" s="21">
        <f t="shared" si="14"/>
        <v>0</v>
      </c>
      <c r="BE15" s="21">
        <f t="shared" si="14"/>
        <v>0</v>
      </c>
      <c r="BF15" s="21">
        <f t="shared" si="14"/>
        <v>0</v>
      </c>
      <c r="BO15" s="124">
        <f t="shared" si="7"/>
        <v>0</v>
      </c>
      <c r="BP15" s="21">
        <f t="shared" ref="BP15:BS19" si="15">IF($C15=$BO$1,AL15,0)</f>
        <v>0</v>
      </c>
      <c r="BQ15" s="21">
        <f t="shared" si="15"/>
        <v>0</v>
      </c>
      <c r="BR15" s="21">
        <f t="shared" si="15"/>
        <v>0</v>
      </c>
      <c r="BS15" s="21">
        <f t="shared" si="15"/>
        <v>0</v>
      </c>
      <c r="BT15" s="25">
        <f t="shared" ref="BT15:BT20" si="16">SUM(BP15:BS15)</f>
        <v>0</v>
      </c>
      <c r="BV15" s="124">
        <f t="shared" si="10"/>
        <v>0</v>
      </c>
      <c r="BW15" s="21"/>
      <c r="BX15" s="21"/>
      <c r="BY15" s="21"/>
      <c r="BZ15" s="21"/>
      <c r="CA15" s="25">
        <f t="shared" ref="CA15:CA20" si="17">SUM(BW15:BZ15)</f>
        <v>0</v>
      </c>
    </row>
    <row r="16" spans="1:79" ht="15" x14ac:dyDescent="0.25">
      <c r="A16" s="284"/>
      <c r="B16" s="398" t="e">
        <f>VLOOKUP(A16,Tabeller!$W$15:$Z$23,4,FALSE)</f>
        <v>#N/A</v>
      </c>
      <c r="C16" s="399" t="s">
        <v>225</v>
      </c>
      <c r="D16" s="65">
        <v>70</v>
      </c>
      <c r="E16" s="66"/>
      <c r="F16" s="403"/>
      <c r="G16" s="403"/>
      <c r="H16" s="403"/>
      <c r="I16" s="403"/>
      <c r="J16" s="151">
        <f>SUM(F16:I16)</f>
        <v>0</v>
      </c>
      <c r="K16" s="22">
        <f>SUM(AL16:AO16)</f>
        <v>0</v>
      </c>
      <c r="L16" s="22">
        <f>IFERROR(SUM(AQ16:AT16),0)</f>
        <v>0</v>
      </c>
      <c r="M16" s="22">
        <f>SUM(K16:L16)</f>
        <v>0</v>
      </c>
      <c r="Z16" s="21">
        <f>D16</f>
        <v>70</v>
      </c>
      <c r="AA16" s="21">
        <f>IF(Budsjett!D16&gt;0,LOOKUP(Budsjett!D16,Tabeller!$A$4:$B$200),LOOKUP(Z16,Tabeller!$A$4:$B$200))</f>
        <v>692400</v>
      </c>
      <c r="AB16" s="21">
        <f>AA16*Tabeller!$I$33</f>
        <v>702785.99999999988</v>
      </c>
      <c r="AC16" s="21">
        <f>AA16*(Tabeller!$I$33)*Tabeller!$L$23</f>
        <v>634597.5813759322</v>
      </c>
      <c r="AD16" s="21">
        <f>AB16*Tabeller!$L$24</f>
        <v>76151.709765111867</v>
      </c>
      <c r="AE16" s="21">
        <f>AB16*Tabeller!$L$26</f>
        <v>113382.28066927506</v>
      </c>
      <c r="AF16" s="21">
        <f>AB16*Tabeller!$L$25</f>
        <v>93380.358995658462</v>
      </c>
      <c r="AG16" s="21">
        <f>SUM(AC16:AF16)</f>
        <v>917511.93080597767</v>
      </c>
      <c r="AH16" s="21">
        <f>AG16+(Registrering!$E$27)</f>
        <v>1339791.9308059777</v>
      </c>
      <c r="AI16" s="21">
        <f>AH16/Tabeller!$H$3</f>
        <v>822.96801646558822</v>
      </c>
      <c r="AL16" s="256">
        <f>((F16*Budsjett!$AG16))</f>
        <v>0</v>
      </c>
      <c r="AM16" s="21">
        <f>((G16*Budsjett!$AG16)*(Tabeller!J$33))</f>
        <v>0</v>
      </c>
      <c r="AN16" s="21">
        <f>((H16*Budsjett!$AG16)*(Tabeller!K$33))</f>
        <v>0</v>
      </c>
      <c r="AO16" s="21">
        <f>((I16*Budsjett!$AG16)*(Tabeller!L$33))</f>
        <v>0</v>
      </c>
      <c r="AQ16" s="21">
        <f>IFERROR(AL16*Budsjett!$G$61,0)</f>
        <v>0</v>
      </c>
      <c r="AR16" s="21">
        <f>IFERROR(AM16*Budsjett!$G$61,0)</f>
        <v>0</v>
      </c>
      <c r="AS16" s="21">
        <f>IFERROR(AN16*Budsjett!$G$61,0)</f>
        <v>0</v>
      </c>
      <c r="AT16" s="21">
        <f>IFERROR(AO16*Budsjett!$G$61,0)</f>
        <v>0</v>
      </c>
      <c r="AW16" s="326">
        <f>IFERROR(AL16*Budsjett!$AW$62,0)</f>
        <v>0</v>
      </c>
      <c r="AX16" s="326">
        <f>IFERROR(AM16*Budsjett!$AW$62,0)</f>
        <v>0</v>
      </c>
      <c r="AY16" s="326">
        <f>IFERROR(AN16*Budsjett!$AW$62,0)</f>
        <v>0</v>
      </c>
      <c r="AZ16" s="326">
        <f>IFERROR(AO16*Budsjett!$AW$62,0)</f>
        <v>0</v>
      </c>
      <c r="BC16" s="21">
        <f t="shared" si="14"/>
        <v>0</v>
      </c>
      <c r="BD16" s="21">
        <f t="shared" si="14"/>
        <v>0</v>
      </c>
      <c r="BE16" s="21">
        <f t="shared" si="14"/>
        <v>0</v>
      </c>
      <c r="BF16" s="21">
        <f t="shared" si="14"/>
        <v>0</v>
      </c>
      <c r="BO16" s="124">
        <f t="shared" si="7"/>
        <v>0</v>
      </c>
      <c r="BP16" s="21">
        <f t="shared" si="15"/>
        <v>0</v>
      </c>
      <c r="BQ16" s="21">
        <f t="shared" si="15"/>
        <v>0</v>
      </c>
      <c r="BR16" s="21">
        <f t="shared" si="15"/>
        <v>0</v>
      </c>
      <c r="BS16" s="21">
        <f t="shared" si="15"/>
        <v>0</v>
      </c>
      <c r="BT16" s="25">
        <f t="shared" si="16"/>
        <v>0</v>
      </c>
      <c r="BV16" s="124">
        <f t="shared" si="10"/>
        <v>0</v>
      </c>
      <c r="BW16" s="21"/>
      <c r="BX16" s="21"/>
      <c r="BY16" s="21"/>
      <c r="BZ16" s="21"/>
      <c r="CA16" s="25">
        <f t="shared" si="17"/>
        <v>0</v>
      </c>
    </row>
    <row r="17" spans="1:79" ht="15" x14ac:dyDescent="0.25">
      <c r="A17" s="284"/>
      <c r="B17" s="398" t="e">
        <f>VLOOKUP(A17,Tabeller!$W$15:$Z$23,4,FALSE)</f>
        <v>#N/A</v>
      </c>
      <c r="C17" s="399" t="s">
        <v>225</v>
      </c>
      <c r="D17" s="65">
        <v>70</v>
      </c>
      <c r="E17" s="66"/>
      <c r="F17" s="403"/>
      <c r="G17" s="403"/>
      <c r="H17" s="403"/>
      <c r="I17" s="403"/>
      <c r="J17" s="151">
        <f>SUM(F17:I17)</f>
        <v>0</v>
      </c>
      <c r="K17" s="22">
        <f>SUM(AL17:AO17)</f>
        <v>0</v>
      </c>
      <c r="L17" s="22">
        <f>IFERROR(SUM(AQ17:AT17),0)</f>
        <v>0</v>
      </c>
      <c r="M17" s="22">
        <f>SUM(K17:L17)</f>
        <v>0</v>
      </c>
      <c r="Z17" s="21">
        <f>D17</f>
        <v>70</v>
      </c>
      <c r="AA17" s="21">
        <f>IF(Budsjett!D17&gt;0,LOOKUP(Budsjett!D17,Tabeller!$A$4:$B$200),LOOKUP(Z17,Tabeller!$A$4:$B$200))</f>
        <v>692400</v>
      </c>
      <c r="AB17" s="21">
        <f>AA17*Tabeller!$I$33</f>
        <v>702785.99999999988</v>
      </c>
      <c r="AC17" s="21">
        <f>AA17*(Tabeller!$I$33)*Tabeller!$L$23</f>
        <v>634597.5813759322</v>
      </c>
      <c r="AD17" s="21">
        <f>AB17*Tabeller!$L$24</f>
        <v>76151.709765111867</v>
      </c>
      <c r="AE17" s="21">
        <f>AB17*Tabeller!$L$26</f>
        <v>113382.28066927506</v>
      </c>
      <c r="AF17" s="21">
        <f>AB17*Tabeller!$L$25</f>
        <v>93380.358995658462</v>
      </c>
      <c r="AG17" s="21">
        <f>SUM(AC17:AF17)</f>
        <v>917511.93080597767</v>
      </c>
      <c r="AH17" s="21">
        <f>AG17+(Registrering!$E$27)</f>
        <v>1339791.9308059777</v>
      </c>
      <c r="AI17" s="21">
        <f>AH17/Tabeller!$H$3</f>
        <v>822.96801646558822</v>
      </c>
      <c r="AL17" s="256">
        <f>((F17*Budsjett!$AG17))</f>
        <v>0</v>
      </c>
      <c r="AM17" s="21">
        <f>((G17*Budsjett!$AG17)*(Tabeller!J$33))</f>
        <v>0</v>
      </c>
      <c r="AN17" s="21">
        <f>((H17*Budsjett!$AG17)*(Tabeller!K$33))</f>
        <v>0</v>
      </c>
      <c r="AO17" s="21">
        <f>((I17*Budsjett!$AG17)*(Tabeller!L$33))</f>
        <v>0</v>
      </c>
      <c r="AQ17" s="21">
        <f>IFERROR(AL17*Budsjett!$G$61,0)</f>
        <v>0</v>
      </c>
      <c r="AR17" s="21">
        <f>IFERROR(AM17*Budsjett!$G$61,0)</f>
        <v>0</v>
      </c>
      <c r="AS17" s="21">
        <f>IFERROR(AN17*Budsjett!$G$61,0)</f>
        <v>0</v>
      </c>
      <c r="AT17" s="21">
        <f>IFERROR(AO17*Budsjett!$G$61,0)</f>
        <v>0</v>
      </c>
      <c r="AW17" s="326">
        <f>IFERROR(AL17*Budsjett!$AW$62,0)</f>
        <v>0</v>
      </c>
      <c r="AX17" s="326">
        <f>IFERROR(AM17*Budsjett!$AW$62,0)</f>
        <v>0</v>
      </c>
      <c r="AY17" s="326">
        <f>IFERROR(AN17*Budsjett!$AW$62,0)</f>
        <v>0</v>
      </c>
      <c r="AZ17" s="326">
        <f>IFERROR(AO17*Budsjett!$AW$62,0)</f>
        <v>0</v>
      </c>
      <c r="BC17" s="21">
        <f t="shared" si="14"/>
        <v>0</v>
      </c>
      <c r="BD17" s="21">
        <f t="shared" si="14"/>
        <v>0</v>
      </c>
      <c r="BE17" s="21">
        <f t="shared" si="14"/>
        <v>0</v>
      </c>
      <c r="BF17" s="21">
        <f t="shared" si="14"/>
        <v>0</v>
      </c>
      <c r="BO17" s="124">
        <f t="shared" si="7"/>
        <v>0</v>
      </c>
      <c r="BP17" s="21">
        <f t="shared" si="15"/>
        <v>0</v>
      </c>
      <c r="BQ17" s="21">
        <f t="shared" si="15"/>
        <v>0</v>
      </c>
      <c r="BR17" s="21">
        <f t="shared" si="15"/>
        <v>0</v>
      </c>
      <c r="BS17" s="21">
        <f t="shared" si="15"/>
        <v>0</v>
      </c>
      <c r="BT17" s="25">
        <f t="shared" si="16"/>
        <v>0</v>
      </c>
      <c r="BV17" s="124">
        <f t="shared" si="10"/>
        <v>0</v>
      </c>
      <c r="BW17" s="21"/>
      <c r="BX17" s="21"/>
      <c r="BY17" s="21"/>
      <c r="BZ17" s="21"/>
      <c r="CA17" s="25">
        <f t="shared" si="17"/>
        <v>0</v>
      </c>
    </row>
    <row r="18" spans="1:79" ht="15" x14ac:dyDescent="0.25">
      <c r="A18" s="284"/>
      <c r="B18" s="398" t="e">
        <f>VLOOKUP(A18,Tabeller!$W$15:$Z$23,4,FALSE)</f>
        <v>#N/A</v>
      </c>
      <c r="C18" s="399" t="s">
        <v>225</v>
      </c>
      <c r="D18" s="65">
        <v>70</v>
      </c>
      <c r="E18" s="66"/>
      <c r="F18" s="403"/>
      <c r="G18" s="403"/>
      <c r="H18" s="403"/>
      <c r="I18" s="403"/>
      <c r="J18" s="151">
        <f>SUM(F18:I18)</f>
        <v>0</v>
      </c>
      <c r="K18" s="22">
        <f>SUM(AL18:AO18)</f>
        <v>0</v>
      </c>
      <c r="L18" s="22">
        <f>IFERROR(SUM(AQ18:AT18),0)</f>
        <v>0</v>
      </c>
      <c r="M18" s="22">
        <f>SUM(K18:L18)</f>
        <v>0</v>
      </c>
      <c r="Z18" s="21">
        <f>D18</f>
        <v>70</v>
      </c>
      <c r="AA18" s="21">
        <f>IF(Budsjett!D18&gt;0,LOOKUP(Budsjett!D18,Tabeller!$A$4:$B$200),LOOKUP(Z18,Tabeller!$A$4:$B$200))</f>
        <v>692400</v>
      </c>
      <c r="AB18" s="21">
        <f>AA18*Tabeller!$I$33</f>
        <v>702785.99999999988</v>
      </c>
      <c r="AC18" s="21">
        <f>AA18*(Tabeller!$I$33)*Tabeller!$L$23</f>
        <v>634597.5813759322</v>
      </c>
      <c r="AD18" s="21">
        <f>AB18*Tabeller!$L$24</f>
        <v>76151.709765111867</v>
      </c>
      <c r="AE18" s="21">
        <f>AB18*Tabeller!$L$26</f>
        <v>113382.28066927506</v>
      </c>
      <c r="AF18" s="21">
        <f>AB18*Tabeller!$L$25</f>
        <v>93380.358995658462</v>
      </c>
      <c r="AG18" s="21">
        <f>SUM(AC18:AF18)</f>
        <v>917511.93080597767</v>
      </c>
      <c r="AH18" s="21">
        <f>AG18+(Registrering!$E$27)</f>
        <v>1339791.9308059777</v>
      </c>
      <c r="AI18" s="21">
        <f>AH18/Tabeller!$H$3</f>
        <v>822.96801646558822</v>
      </c>
      <c r="AL18" s="256">
        <f>((F18*Budsjett!$AG18))</f>
        <v>0</v>
      </c>
      <c r="AM18" s="21">
        <f>((G18*Budsjett!$AG18)*(Tabeller!J$33))</f>
        <v>0</v>
      </c>
      <c r="AN18" s="21">
        <f>((H18*Budsjett!$AG18)*(Tabeller!K$33))</f>
        <v>0</v>
      </c>
      <c r="AO18" s="21">
        <f>((I18*Budsjett!$AG18)*(Tabeller!L$33))</f>
        <v>0</v>
      </c>
      <c r="AQ18" s="21">
        <f>IFERROR(AL18*Budsjett!$G$61,0)</f>
        <v>0</v>
      </c>
      <c r="AR18" s="21">
        <f>IFERROR(AM18*Budsjett!$G$61,0)</f>
        <v>0</v>
      </c>
      <c r="AS18" s="21">
        <f>IFERROR(AN18*Budsjett!$G$61,0)</f>
        <v>0</v>
      </c>
      <c r="AT18" s="21">
        <f>IFERROR(AO18*Budsjett!$G$61,0)</f>
        <v>0</v>
      </c>
      <c r="AW18" s="326">
        <f>IFERROR(AL18*Budsjett!$AW$62,0)</f>
        <v>0</v>
      </c>
      <c r="AX18" s="326">
        <f>IFERROR(AM18*Budsjett!$AW$62,0)</f>
        <v>0</v>
      </c>
      <c r="AY18" s="326">
        <f>IFERROR(AN18*Budsjett!$AW$62,0)</f>
        <v>0</v>
      </c>
      <c r="AZ18" s="326">
        <f>IFERROR(AO18*Budsjett!$AW$62,0)</f>
        <v>0</v>
      </c>
      <c r="BC18" s="21">
        <f t="shared" si="14"/>
        <v>0</v>
      </c>
      <c r="BD18" s="21">
        <f t="shared" si="14"/>
        <v>0</v>
      </c>
      <c r="BE18" s="21">
        <f t="shared" si="14"/>
        <v>0</v>
      </c>
      <c r="BF18" s="21">
        <f t="shared" si="14"/>
        <v>0</v>
      </c>
      <c r="BO18" s="124">
        <f t="shared" si="7"/>
        <v>0</v>
      </c>
      <c r="BP18" s="21">
        <f t="shared" si="15"/>
        <v>0</v>
      </c>
      <c r="BQ18" s="21">
        <f t="shared" si="15"/>
        <v>0</v>
      </c>
      <c r="BR18" s="21">
        <f t="shared" si="15"/>
        <v>0</v>
      </c>
      <c r="BS18" s="21">
        <f t="shared" si="15"/>
        <v>0</v>
      </c>
      <c r="BT18" s="25">
        <f t="shared" si="16"/>
        <v>0</v>
      </c>
      <c r="BV18" s="124">
        <f t="shared" si="10"/>
        <v>0</v>
      </c>
      <c r="BW18" s="21"/>
      <c r="BX18" s="21"/>
      <c r="BY18" s="21"/>
      <c r="BZ18" s="21"/>
      <c r="CA18" s="25">
        <f t="shared" si="17"/>
        <v>0</v>
      </c>
    </row>
    <row r="19" spans="1:79" ht="15" x14ac:dyDescent="0.25">
      <c r="A19" s="284"/>
      <c r="B19" s="398" t="e">
        <f>VLOOKUP(A19,Tabeller!$W$15:$Z$23,4,FALSE)</f>
        <v>#N/A</v>
      </c>
      <c r="C19" s="399" t="s">
        <v>225</v>
      </c>
      <c r="D19" s="65">
        <v>70</v>
      </c>
      <c r="E19" s="388"/>
      <c r="F19" s="403"/>
      <c r="G19" s="403"/>
      <c r="H19" s="403"/>
      <c r="I19" s="403"/>
      <c r="J19" s="151">
        <f>SUM(F19:I19)</f>
        <v>0</v>
      </c>
      <c r="K19" s="22">
        <f>SUM(AL19:AO19)</f>
        <v>0</v>
      </c>
      <c r="L19" s="22">
        <f>IFERROR(SUM(AQ19:AT19),0)</f>
        <v>0</v>
      </c>
      <c r="M19" s="22">
        <f>SUM(K19:L19)</f>
        <v>0</v>
      </c>
      <c r="Z19" s="21">
        <f>D19</f>
        <v>70</v>
      </c>
      <c r="AA19" s="21">
        <f>IF(Budsjett!D19&gt;0,LOOKUP(Budsjett!D19,Tabeller!$A$4:$B$200),LOOKUP(Z19,Tabeller!$A$4:$B$200))</f>
        <v>692400</v>
      </c>
      <c r="AB19" s="21">
        <f>AA19*Tabeller!$I$33</f>
        <v>702785.99999999988</v>
      </c>
      <c r="AC19" s="21">
        <f>AA19*(Tabeller!$I$33)*Tabeller!$L$23</f>
        <v>634597.5813759322</v>
      </c>
      <c r="AD19" s="21">
        <f>AB19*Tabeller!$L$24</f>
        <v>76151.709765111867</v>
      </c>
      <c r="AE19" s="21">
        <f>AB19*Tabeller!$L$26</f>
        <v>113382.28066927506</v>
      </c>
      <c r="AF19" s="21">
        <f>AB19*Tabeller!$L$25</f>
        <v>93380.358995658462</v>
      </c>
      <c r="AG19" s="21">
        <f>SUM(AC19:AF19)</f>
        <v>917511.93080597767</v>
      </c>
      <c r="AH19" s="21">
        <f>AG19+(Registrering!$E$27)</f>
        <v>1339791.9308059777</v>
      </c>
      <c r="AI19" s="21">
        <f>AH19/Tabeller!$H$3</f>
        <v>822.96801646558822</v>
      </c>
      <c r="AL19" s="256">
        <f>((F19*Budsjett!$AG19))</f>
        <v>0</v>
      </c>
      <c r="AM19" s="21">
        <f>((G19*Budsjett!$AG19)*(Tabeller!J$33))</f>
        <v>0</v>
      </c>
      <c r="AN19" s="21">
        <f>((H19*Budsjett!$AG19)*(Tabeller!K$33))</f>
        <v>0</v>
      </c>
      <c r="AO19" s="21">
        <f>((I19*Budsjett!$AG19)*(Tabeller!L$33))</f>
        <v>0</v>
      </c>
      <c r="AQ19" s="21">
        <f>IFERROR(AL19*Budsjett!$G$61,0)</f>
        <v>0</v>
      </c>
      <c r="AR19" s="21">
        <f>IFERROR(AM19*Budsjett!$G$61,0)</f>
        <v>0</v>
      </c>
      <c r="AS19" s="21">
        <f>IFERROR(AN19*Budsjett!$G$61,0)</f>
        <v>0</v>
      </c>
      <c r="AT19" s="21">
        <f>IFERROR(AO19*Budsjett!$G$61,0)</f>
        <v>0</v>
      </c>
      <c r="AW19" s="326">
        <f>IFERROR(AL19*Budsjett!$AW$62,0)</f>
        <v>0</v>
      </c>
      <c r="AX19" s="326">
        <f>IFERROR(AM19*Budsjett!$AW$62,0)</f>
        <v>0</v>
      </c>
      <c r="AY19" s="326">
        <f>IFERROR(AN19*Budsjett!$AW$62,0)</f>
        <v>0</v>
      </c>
      <c r="AZ19" s="326">
        <f>IFERROR(AO19*Budsjett!$AW$62,0)</f>
        <v>0</v>
      </c>
      <c r="BC19" s="21">
        <f t="shared" si="14"/>
        <v>0</v>
      </c>
      <c r="BD19" s="21">
        <f t="shared" si="14"/>
        <v>0</v>
      </c>
      <c r="BE19" s="21">
        <f t="shared" si="14"/>
        <v>0</v>
      </c>
      <c r="BF19" s="21">
        <f t="shared" si="14"/>
        <v>0</v>
      </c>
      <c r="BO19" s="124">
        <f t="shared" si="7"/>
        <v>0</v>
      </c>
      <c r="BP19" s="21">
        <f t="shared" si="15"/>
        <v>0</v>
      </c>
      <c r="BQ19" s="21">
        <f t="shared" si="15"/>
        <v>0</v>
      </c>
      <c r="BR19" s="21">
        <f t="shared" si="15"/>
        <v>0</v>
      </c>
      <c r="BS19" s="21">
        <f t="shared" si="15"/>
        <v>0</v>
      </c>
      <c r="BT19" s="25">
        <f t="shared" si="16"/>
        <v>0</v>
      </c>
      <c r="BV19" s="124">
        <f t="shared" si="10"/>
        <v>0</v>
      </c>
      <c r="BW19" s="21"/>
      <c r="BX19" s="21"/>
      <c r="BY19" s="21"/>
      <c r="BZ19" s="21"/>
      <c r="CA19" s="25">
        <f t="shared" si="17"/>
        <v>0</v>
      </c>
    </row>
    <row r="20" spans="1:79" ht="15" x14ac:dyDescent="0.25">
      <c r="A20" s="31" t="s">
        <v>0</v>
      </c>
      <c r="B20" s="31"/>
      <c r="C20" s="31"/>
      <c r="D20" s="31"/>
      <c r="E20" s="32"/>
      <c r="F20" s="149">
        <f t="shared" ref="F20:M20" si="18">SUM(F15:F19)</f>
        <v>0</v>
      </c>
      <c r="G20" s="149">
        <f t="shared" si="18"/>
        <v>0</v>
      </c>
      <c r="H20" s="149">
        <f t="shared" si="18"/>
        <v>0</v>
      </c>
      <c r="I20" s="149">
        <f t="shared" si="18"/>
        <v>0</v>
      </c>
      <c r="J20" s="150">
        <f t="shared" si="18"/>
        <v>0</v>
      </c>
      <c r="K20" s="38">
        <f t="shared" si="18"/>
        <v>0</v>
      </c>
      <c r="L20" s="38">
        <f t="shared" si="18"/>
        <v>0</v>
      </c>
      <c r="M20" s="38">
        <f t="shared" si="18"/>
        <v>0</v>
      </c>
      <c r="AL20" s="25">
        <f>SUM(AL15:AL19)</f>
        <v>0</v>
      </c>
      <c r="AM20" s="25">
        <f>SUM(AM15:AM19)</f>
        <v>0</v>
      </c>
      <c r="AN20" s="25">
        <f>SUM(AN15:AN19)</f>
        <v>0</v>
      </c>
      <c r="AO20" s="25">
        <f>SUM(AO15:AO19)</f>
        <v>0</v>
      </c>
      <c r="AP20" s="62">
        <f>SUM(AL20:AO20)</f>
        <v>0</v>
      </c>
      <c r="AQ20" s="25">
        <f>SUM(AQ15:AQ19)</f>
        <v>0</v>
      </c>
      <c r="AR20" s="25">
        <f>SUM(AR15:AR19)</f>
        <v>0</v>
      </c>
      <c r="AS20" s="25">
        <f>SUM(AS15:AS19)</f>
        <v>0</v>
      </c>
      <c r="AT20" s="25">
        <f>SUM(AT15:AT19)</f>
        <v>0</v>
      </c>
      <c r="AU20" s="62">
        <f>SUM(AQ20:AT20)</f>
        <v>0</v>
      </c>
      <c r="AW20" s="25">
        <f>SUM(AW15:AW19)</f>
        <v>0</v>
      </c>
      <c r="AX20" s="25">
        <f>SUM(AX15:AX19)</f>
        <v>0</v>
      </c>
      <c r="AY20" s="25">
        <f>SUM(AY15:AY19)</f>
        <v>0</v>
      </c>
      <c r="AZ20" s="25">
        <f>SUM(AZ15:AZ19)</f>
        <v>0</v>
      </c>
      <c r="BA20" s="62"/>
      <c r="BB20" s="62"/>
      <c r="BC20" s="25">
        <f>SUM(BC15:BC19)</f>
        <v>0</v>
      </c>
      <c r="BD20" s="25">
        <f>SUM(BD15:BD19)</f>
        <v>0</v>
      </c>
      <c r="BE20" s="25">
        <f>SUM(BE15:BE19)</f>
        <v>0</v>
      </c>
      <c r="BF20" s="25">
        <f>SUM(BF15:BF19)</f>
        <v>0</v>
      </c>
      <c r="BG20" s="62"/>
      <c r="BO20" s="124" t="str">
        <f t="shared" si="7"/>
        <v>Sum</v>
      </c>
      <c r="BP20" s="25">
        <f>SUM(BP15:BP19)</f>
        <v>0</v>
      </c>
      <c r="BQ20" s="25">
        <f>SUM(BQ15:BQ19)</f>
        <v>0</v>
      </c>
      <c r="BR20" s="25">
        <f>SUM(BR15:BR19)</f>
        <v>0</v>
      </c>
      <c r="BS20" s="25">
        <f>SUM(BS15:BS19)</f>
        <v>0</v>
      </c>
      <c r="BT20" s="25">
        <f t="shared" si="16"/>
        <v>0</v>
      </c>
      <c r="BV20" s="124" t="str">
        <f t="shared" si="10"/>
        <v>Sum</v>
      </c>
      <c r="BW20" s="25">
        <f>SUM(BW15:BW19)</f>
        <v>0</v>
      </c>
      <c r="BX20" s="25">
        <f>SUM(BX15:BX19)</f>
        <v>0</v>
      </c>
      <c r="BY20" s="25">
        <f>SUM(BY15:BY19)</f>
        <v>0</v>
      </c>
      <c r="BZ20" s="25">
        <f>SUM(BZ15:BZ19)</f>
        <v>0</v>
      </c>
      <c r="CA20" s="25">
        <f t="shared" si="17"/>
        <v>0</v>
      </c>
    </row>
    <row r="21" spans="1:79" ht="21" x14ac:dyDescent="0.35">
      <c r="A21" s="55" t="s">
        <v>65</v>
      </c>
      <c r="B21" s="55"/>
      <c r="C21" s="49"/>
      <c r="D21" s="49"/>
      <c r="E21" s="23"/>
      <c r="F21" s="61" t="s">
        <v>109</v>
      </c>
      <c r="G21" s="23"/>
      <c r="H21" s="23"/>
      <c r="I21" s="23"/>
      <c r="J21" s="23" t="e">
        <f>F56+G56+\</f>
        <v>#NAME?</v>
      </c>
      <c r="K21" s="23">
        <f>K20+K12</f>
        <v>0</v>
      </c>
      <c r="L21" s="23"/>
      <c r="M21" s="23"/>
      <c r="W21" s="23"/>
      <c r="X21" s="23"/>
      <c r="Y21" s="23"/>
      <c r="Z21" s="23"/>
      <c r="AA21" s="23"/>
      <c r="AC21" s="23"/>
      <c r="AD21" s="23"/>
      <c r="AE21" s="23"/>
      <c r="AF21" s="23"/>
      <c r="AG21" s="23"/>
      <c r="AH21" s="23"/>
      <c r="AI21" s="23"/>
      <c r="AJ21" s="23"/>
      <c r="AK21" s="23"/>
      <c r="AL21" s="23"/>
      <c r="AM21" s="23"/>
      <c r="AN21" s="23"/>
      <c r="AO21" s="23"/>
      <c r="AQ21" s="23"/>
      <c r="AR21" s="23"/>
      <c r="AS21" s="23"/>
      <c r="AT21" s="23"/>
      <c r="AW21" s="23"/>
      <c r="AX21" s="23"/>
      <c r="AY21" s="23"/>
      <c r="AZ21" s="23"/>
      <c r="BO21" s="124" t="str">
        <f t="shared" si="7"/>
        <v>Eksisterende ansatte - dekkes av UiO (egenandel)</v>
      </c>
      <c r="BV21" s="124" t="str">
        <f t="shared" si="10"/>
        <v>Eksisterende ansatte - dekkes av UiO (egenandel)</v>
      </c>
    </row>
    <row r="22" spans="1:79" ht="15" x14ac:dyDescent="0.25">
      <c r="A22" s="125" t="s">
        <v>68</v>
      </c>
      <c r="B22" s="125"/>
      <c r="C22" s="125"/>
      <c r="D22" s="125" t="s">
        <v>35</v>
      </c>
      <c r="E22" s="125" t="s">
        <v>58</v>
      </c>
      <c r="F22" s="126" t="str">
        <f>F14</f>
        <v>Periode 1 (1-18 month)</v>
      </c>
      <c r="G22" s="126" t="str">
        <f>G14</f>
        <v>Periode 2 (19-36 month)</v>
      </c>
      <c r="H22" s="126" t="str">
        <f>H14</f>
        <v>Periode 3 (37-54 month)</v>
      </c>
      <c r="I22" s="126" t="str">
        <f>I14</f>
        <v>Periode 4 (55-60 (72) month)</v>
      </c>
      <c r="J22" s="127" t="s">
        <v>0</v>
      </c>
      <c r="K22" s="127" t="s">
        <v>235</v>
      </c>
      <c r="L22" s="127" t="s">
        <v>60</v>
      </c>
      <c r="M22" s="127" t="s">
        <v>61</v>
      </c>
      <c r="Z22" s="63" t="s">
        <v>48</v>
      </c>
      <c r="AA22" s="64" t="s">
        <v>2</v>
      </c>
      <c r="AB22" s="64" t="s">
        <v>169</v>
      </c>
      <c r="AC22" s="64" t="s">
        <v>26</v>
      </c>
      <c r="AD22" s="64" t="s">
        <v>31</v>
      </c>
      <c r="AE22" s="64" t="s">
        <v>27</v>
      </c>
      <c r="AF22" s="64" t="s">
        <v>28</v>
      </c>
      <c r="AG22" s="64" t="s">
        <v>21</v>
      </c>
      <c r="AH22" s="64" t="s">
        <v>22</v>
      </c>
      <c r="AI22" s="64" t="s">
        <v>19</v>
      </c>
      <c r="AL22" s="25" t="str">
        <f>F22</f>
        <v>Periode 1 (1-18 month)</v>
      </c>
      <c r="AM22" s="25" t="str">
        <f>G22</f>
        <v>Periode 2 (19-36 month)</v>
      </c>
      <c r="AN22" s="25" t="str">
        <f>H22</f>
        <v>Periode 3 (37-54 month)</v>
      </c>
      <c r="AO22" s="25" t="str">
        <f>I22</f>
        <v>Periode 4 (55-60 (72) month)</v>
      </c>
      <c r="AQ22" s="21" t="str">
        <f>AL22</f>
        <v>Periode 1 (1-18 month)</v>
      </c>
      <c r="AR22" s="21" t="str">
        <f>AM22</f>
        <v>Periode 2 (19-36 month)</v>
      </c>
      <c r="AS22" s="21" t="str">
        <f>AN22</f>
        <v>Periode 3 (37-54 month)</v>
      </c>
      <c r="AT22" s="21" t="str">
        <f>AO22</f>
        <v>Periode 4 (55-60 (72) month)</v>
      </c>
      <c r="AW22" s="25" t="str">
        <f>AQ22</f>
        <v>Periode 1 (1-18 month)</v>
      </c>
      <c r="AX22" s="25" t="str">
        <f>AR22</f>
        <v>Periode 2 (19-36 month)</v>
      </c>
      <c r="AY22" s="25" t="str">
        <f>AS22</f>
        <v>Periode 3 (37-54 month)</v>
      </c>
      <c r="AZ22" s="25" t="str">
        <f>AT22</f>
        <v>Periode 4 (55-60 (72) month)</v>
      </c>
      <c r="BC22" s="25" t="str">
        <f>F3</f>
        <v>Periode 1 (1-18 month)</v>
      </c>
      <c r="BD22" s="25" t="str">
        <f>G3</f>
        <v>Periode 2 (19-36 month)</v>
      </c>
      <c r="BE22" s="25" t="str">
        <f>H3</f>
        <v>Periode 3 (37-54 month)</v>
      </c>
      <c r="BF22" s="25" t="str">
        <f>I3</f>
        <v>Periode 4 (55-60 (72) month)</v>
      </c>
      <c r="BO22" s="124" t="str">
        <f t="shared" si="7"/>
        <v>Frikjøp art 5896</v>
      </c>
      <c r="BP22" s="25" t="str">
        <f>BP14</f>
        <v>Periode 1 (1-18 month)</v>
      </c>
      <c r="BQ22" s="25" t="str">
        <f>BQ14</f>
        <v>Periode 2 (19-36 month)</v>
      </c>
      <c r="BR22" s="25" t="str">
        <f>BR14</f>
        <v>Periode 3 (37-54 month)</v>
      </c>
      <c r="BS22" s="25" t="str">
        <f>BS14</f>
        <v>Periode 4 (55-60 (72) month)</v>
      </c>
      <c r="BT22" s="25" t="str">
        <f>BT14</f>
        <v>Sum årsv</v>
      </c>
      <c r="BV22" s="124" t="str">
        <f t="shared" si="10"/>
        <v>Frikjøp art 5896</v>
      </c>
      <c r="BW22" s="25" t="str">
        <f>BW14</f>
        <v>Periode 1 (1-18 month)</v>
      </c>
      <c r="BX22" s="25" t="str">
        <f>BX14</f>
        <v>Periode 2 (19-36 month)</v>
      </c>
      <c r="BY22" s="25" t="str">
        <f>BY14</f>
        <v>Periode 3 (37-54 month)</v>
      </c>
      <c r="BZ22" s="25" t="str">
        <f>BZ14</f>
        <v>Periode 4 (55-60 (72) month)</v>
      </c>
      <c r="CA22" s="25" t="str">
        <f>CA14</f>
        <v>Sum årsv</v>
      </c>
    </row>
    <row r="23" spans="1:79" ht="15" x14ac:dyDescent="0.25">
      <c r="A23" s="146"/>
      <c r="B23" s="24" t="e">
        <f>VLOOKUP(A23,Tabeller!$W$15:$Z$23,4,FALSE)</f>
        <v>#N/A</v>
      </c>
      <c r="C23" s="197" t="s">
        <v>6</v>
      </c>
      <c r="D23" s="65">
        <v>70</v>
      </c>
      <c r="E23" s="425"/>
      <c r="F23" s="148"/>
      <c r="G23" s="148"/>
      <c r="H23" s="148"/>
      <c r="I23" s="148"/>
      <c r="J23" s="151">
        <f>SUM(F23:I23)</f>
        <v>0</v>
      </c>
      <c r="K23" s="22">
        <f>SUM(AL23:AO23)</f>
        <v>0</v>
      </c>
      <c r="L23" s="22">
        <f>IFERROR(SUM(AQ23:AT23),0)</f>
        <v>0</v>
      </c>
      <c r="M23" s="22">
        <f>SUM(K23:L23)</f>
        <v>0</v>
      </c>
      <c r="Z23" s="21">
        <f>D23</f>
        <v>70</v>
      </c>
      <c r="AA23" s="21">
        <f>IF(Budsjett!D23&gt;0,LOOKUP(Budsjett!D23,Tabeller!$A$4:$B$200),LOOKUP(Z23,Tabeller!$A$4:$B$200))</f>
        <v>692400</v>
      </c>
      <c r="AB23" s="21">
        <f>AA23*Tabeller!$I$33</f>
        <v>702785.99999999988</v>
      </c>
      <c r="AC23" s="21">
        <f>AA23*(Tabeller!$I$33)*Tabeller!$L$23</f>
        <v>634597.5813759322</v>
      </c>
      <c r="AD23" s="21">
        <f>AB23*Tabeller!$M$24</f>
        <v>75793.13217410662</v>
      </c>
      <c r="AE23" s="21">
        <f>AB23*Tabeller!$L$26</f>
        <v>113382.28066927506</v>
      </c>
      <c r="AF23" s="21">
        <f>AB23*Tabeller!$L$25</f>
        <v>93380.358995658462</v>
      </c>
      <c r="AG23" s="21">
        <f>SUM(AC23:AF23)</f>
        <v>917153.35321497242</v>
      </c>
      <c r="AH23" s="21">
        <f>AG23+(Registrering!$E$27)</f>
        <v>1339433.3532149724</v>
      </c>
      <c r="AI23" s="21">
        <f>AH23/Tabeller!$H$3</f>
        <v>822.74775996005678</v>
      </c>
      <c r="AL23" s="21">
        <f>((F23*Budsjett!$AG23))</f>
        <v>0</v>
      </c>
      <c r="AM23" s="21">
        <f>((G23*Budsjett!$AG23)*(Tabeller!J$33))</f>
        <v>0</v>
      </c>
      <c r="AN23" s="21">
        <f>((H23*Budsjett!$AG23)*(Tabeller!K$33))</f>
        <v>0</v>
      </c>
      <c r="AO23" s="21">
        <f>((I23*Budsjett!$AG23)*(Tabeller!L$33))</f>
        <v>0</v>
      </c>
      <c r="AQ23" s="21">
        <f>IFERROR(AL23*Budsjett!$G$61,0)</f>
        <v>0</v>
      </c>
      <c r="AR23" s="21">
        <f>IFERROR(AM23*Budsjett!$G$61,0)</f>
        <v>0</v>
      </c>
      <c r="AS23" s="21">
        <f>IFERROR(AN23*Budsjett!$G$61,0)</f>
        <v>0</v>
      </c>
      <c r="AT23" s="21">
        <f>IFERROR(AO23*Budsjett!$G$61,0)</f>
        <v>0</v>
      </c>
      <c r="AW23" s="21"/>
      <c r="AX23" s="21"/>
      <c r="AY23" s="21"/>
      <c r="AZ23" s="21"/>
      <c r="BC23" s="21">
        <f t="shared" ref="BC23:BF34" si="19">AQ23</f>
        <v>0</v>
      </c>
      <c r="BD23" s="21">
        <f t="shared" si="19"/>
        <v>0</v>
      </c>
      <c r="BE23" s="21">
        <f t="shared" si="19"/>
        <v>0</v>
      </c>
      <c r="BF23" s="21">
        <f t="shared" si="19"/>
        <v>0</v>
      </c>
      <c r="BO23" s="124">
        <f t="shared" si="7"/>
        <v>0</v>
      </c>
      <c r="BP23" s="21"/>
      <c r="BQ23" s="21"/>
      <c r="BR23" s="21"/>
      <c r="BS23" s="21"/>
      <c r="BT23" s="25">
        <f t="shared" ref="BT23:BT35" si="20">SUM(BP23:BS23)</f>
        <v>0</v>
      </c>
      <c r="BV23" s="124">
        <f t="shared" si="10"/>
        <v>0</v>
      </c>
      <c r="BW23" s="21">
        <f t="shared" ref="BW23:BZ34" si="21">IF($C23=$BV$1,AL23,0)</f>
        <v>0</v>
      </c>
      <c r="BX23" s="21">
        <f t="shared" si="21"/>
        <v>0</v>
      </c>
      <c r="BY23" s="21">
        <f t="shared" si="21"/>
        <v>0</v>
      </c>
      <c r="BZ23" s="21">
        <f t="shared" si="21"/>
        <v>0</v>
      </c>
      <c r="CA23" s="25">
        <f t="shared" ref="CA23:CA35" si="22">SUM(BW23:BZ23)</f>
        <v>0</v>
      </c>
    </row>
    <row r="24" spans="1:79" ht="15" x14ac:dyDescent="0.25">
      <c r="A24" s="146"/>
      <c r="B24" s="24" t="e">
        <f>VLOOKUP(A24,Tabeller!$W$15:$Z$23,4,FALSE)</f>
        <v>#N/A</v>
      </c>
      <c r="C24" s="197" t="s">
        <v>6</v>
      </c>
      <c r="D24" s="65">
        <v>70</v>
      </c>
      <c r="E24" s="388"/>
      <c r="F24" s="148"/>
      <c r="G24" s="148"/>
      <c r="H24" s="148"/>
      <c r="I24" s="148"/>
      <c r="J24" s="151">
        <f>SUM(F24:I24)</f>
        <v>0</v>
      </c>
      <c r="K24" s="22">
        <f>SUM(AL24:AO24)</f>
        <v>0</v>
      </c>
      <c r="L24" s="22">
        <f>IFERROR(SUM(AQ24:AT24),0)</f>
        <v>0</v>
      </c>
      <c r="M24" s="22">
        <f>SUM(K24:L24)</f>
        <v>0</v>
      </c>
      <c r="Z24" s="21">
        <f>D24</f>
        <v>70</v>
      </c>
      <c r="AA24" s="21">
        <f>IF(Budsjett!D24&gt;0,LOOKUP(Budsjett!D24,Tabeller!$A$4:$B$200),LOOKUP(Z24,Tabeller!$A$4:$B$200))</f>
        <v>692400</v>
      </c>
      <c r="AB24" s="21">
        <f>AA24*Tabeller!$I$33</f>
        <v>702785.99999999988</v>
      </c>
      <c r="AC24" s="21">
        <f>AA24*(Tabeller!$I$33)*Tabeller!$L$23</f>
        <v>634597.5813759322</v>
      </c>
      <c r="AD24" s="21">
        <f>AB24*Tabeller!$M$24</f>
        <v>75793.13217410662</v>
      </c>
      <c r="AE24" s="21">
        <f>AB24*Tabeller!$L$26</f>
        <v>113382.28066927506</v>
      </c>
      <c r="AF24" s="21">
        <f>AB24*Tabeller!$L$25</f>
        <v>93380.358995658462</v>
      </c>
      <c r="AG24" s="21">
        <f>SUM(AC24:AF24)</f>
        <v>917153.35321497242</v>
      </c>
      <c r="AH24" s="21">
        <f>AG24+(Registrering!$E$27)</f>
        <v>1339433.3532149724</v>
      </c>
      <c r="AI24" s="21">
        <f>AH24/Tabeller!$H$3</f>
        <v>822.74775996005678</v>
      </c>
      <c r="AL24" s="21">
        <f>((F24*Budsjett!$AG24))</f>
        <v>0</v>
      </c>
      <c r="AM24" s="21">
        <f>((G24*Budsjett!$AG24)*(Tabeller!J$33))</f>
        <v>0</v>
      </c>
      <c r="AN24" s="21">
        <f>((H24*Budsjett!$AG24)*(Tabeller!K$33))</f>
        <v>0</v>
      </c>
      <c r="AO24" s="21">
        <f>((I24*Budsjett!$AG24)*(Tabeller!L$33))</f>
        <v>0</v>
      </c>
      <c r="AQ24" s="21">
        <f>IFERROR(AL24*Budsjett!$G$61,0)</f>
        <v>0</v>
      </c>
      <c r="AR24" s="21">
        <f>IFERROR(AM24*Budsjett!$G$61,0)</f>
        <v>0</v>
      </c>
      <c r="AS24" s="21">
        <f>IFERROR(AN24*Budsjett!$G$61,0)</f>
        <v>0</v>
      </c>
      <c r="AT24" s="21">
        <f>IFERROR(AO24*Budsjett!$G$61,0)</f>
        <v>0</v>
      </c>
      <c r="AW24" s="21"/>
      <c r="AX24" s="21"/>
      <c r="AY24" s="21"/>
      <c r="AZ24" s="21"/>
      <c r="BC24" s="21">
        <f t="shared" si="19"/>
        <v>0</v>
      </c>
      <c r="BD24" s="21">
        <f t="shared" si="19"/>
        <v>0</v>
      </c>
      <c r="BE24" s="21">
        <f t="shared" si="19"/>
        <v>0</v>
      </c>
      <c r="BF24" s="21">
        <f t="shared" si="19"/>
        <v>0</v>
      </c>
      <c r="BO24" s="124">
        <f t="shared" si="7"/>
        <v>0</v>
      </c>
      <c r="BP24" s="21"/>
      <c r="BQ24" s="21"/>
      <c r="BR24" s="21"/>
      <c r="BS24" s="21"/>
      <c r="BT24" s="25">
        <f t="shared" si="20"/>
        <v>0</v>
      </c>
      <c r="BV24" s="124">
        <f t="shared" si="10"/>
        <v>0</v>
      </c>
      <c r="BW24" s="21">
        <f t="shared" si="21"/>
        <v>0</v>
      </c>
      <c r="BX24" s="21">
        <f t="shared" si="21"/>
        <v>0</v>
      </c>
      <c r="BY24" s="21">
        <f t="shared" si="21"/>
        <v>0</v>
      </c>
      <c r="BZ24" s="21">
        <f t="shared" si="21"/>
        <v>0</v>
      </c>
      <c r="CA24" s="25">
        <f t="shared" si="22"/>
        <v>0</v>
      </c>
    </row>
    <row r="25" spans="1:79" ht="15" x14ac:dyDescent="0.25">
      <c r="A25" s="146"/>
      <c r="B25" s="24" t="e">
        <f>VLOOKUP(A25,Tabeller!$W$15:$Z$23,4,FALSE)</f>
        <v>#N/A</v>
      </c>
      <c r="C25" s="197" t="s">
        <v>6</v>
      </c>
      <c r="D25" s="65">
        <v>70</v>
      </c>
      <c r="E25" s="66"/>
      <c r="F25" s="148"/>
      <c r="G25" s="148"/>
      <c r="H25" s="148"/>
      <c r="I25" s="148"/>
      <c r="J25" s="151">
        <f>SUM(F25:I25)</f>
        <v>0</v>
      </c>
      <c r="K25" s="22">
        <f>SUM(AL25:AO25)</f>
        <v>0</v>
      </c>
      <c r="L25" s="22">
        <f>IFERROR(SUM(AQ25:AT25),0)</f>
        <v>0</v>
      </c>
      <c r="M25" s="22">
        <f>SUM(K25:L25)</f>
        <v>0</v>
      </c>
      <c r="Z25" s="21">
        <f>D25</f>
        <v>70</v>
      </c>
      <c r="AA25" s="21">
        <f>IF(Budsjett!D25&gt;0,LOOKUP(Budsjett!D25,Tabeller!$A$4:$B$200),LOOKUP(Z25,Tabeller!$A$4:$B$200))</f>
        <v>692400</v>
      </c>
      <c r="AB25" s="21">
        <f>AA25*Tabeller!$I$33</f>
        <v>702785.99999999988</v>
      </c>
      <c r="AC25" s="21">
        <f>AA25*(Tabeller!$I$33)*Tabeller!$L$23</f>
        <v>634597.5813759322</v>
      </c>
      <c r="AD25" s="21">
        <f>AB25*Tabeller!$M$24</f>
        <v>75793.13217410662</v>
      </c>
      <c r="AE25" s="21">
        <f>AB25*Tabeller!$L$26</f>
        <v>113382.28066927506</v>
      </c>
      <c r="AF25" s="21">
        <f>AB25*Tabeller!$L$25</f>
        <v>93380.358995658462</v>
      </c>
      <c r="AG25" s="21">
        <f>SUM(AC25:AF25)</f>
        <v>917153.35321497242</v>
      </c>
      <c r="AH25" s="21">
        <f>AG25+(Registrering!$E$27)</f>
        <v>1339433.3532149724</v>
      </c>
      <c r="AI25" s="21">
        <f>AH25/Tabeller!$H$3</f>
        <v>822.74775996005678</v>
      </c>
      <c r="AL25" s="21">
        <f>((F25*Budsjett!$AG25))</f>
        <v>0</v>
      </c>
      <c r="AM25" s="21">
        <f>((G25*Budsjett!$AG25)*(Tabeller!J$33))</f>
        <v>0</v>
      </c>
      <c r="AN25" s="21">
        <f>((H25*Budsjett!$AG25)*(Tabeller!K$33))</f>
        <v>0</v>
      </c>
      <c r="AO25" s="21">
        <f>((I25*Budsjett!$AG25)*(Tabeller!L$33))</f>
        <v>0</v>
      </c>
      <c r="AQ25" s="21">
        <f>IFERROR(AL25*Budsjett!$G$61,0)</f>
        <v>0</v>
      </c>
      <c r="AR25" s="21">
        <f>IFERROR(AM25*Budsjett!$G$61,0)</f>
        <v>0</v>
      </c>
      <c r="AS25" s="21">
        <f>IFERROR(AN25*Budsjett!$G$61,0)</f>
        <v>0</v>
      </c>
      <c r="AT25" s="21">
        <f>IFERROR(AO25*Budsjett!$G$61,0)</f>
        <v>0</v>
      </c>
      <c r="AW25" s="21"/>
      <c r="AX25" s="21"/>
      <c r="AY25" s="21"/>
      <c r="AZ25" s="21"/>
      <c r="BC25" s="21">
        <f t="shared" si="19"/>
        <v>0</v>
      </c>
      <c r="BD25" s="21">
        <f t="shared" si="19"/>
        <v>0</v>
      </c>
      <c r="BE25" s="21">
        <f t="shared" si="19"/>
        <v>0</v>
      </c>
      <c r="BF25" s="21">
        <f t="shared" si="19"/>
        <v>0</v>
      </c>
      <c r="BO25" s="124">
        <f t="shared" si="7"/>
        <v>0</v>
      </c>
      <c r="BP25" s="21"/>
      <c r="BQ25" s="21"/>
      <c r="BR25" s="21"/>
      <c r="BS25" s="21"/>
      <c r="BT25" s="25">
        <f t="shared" si="20"/>
        <v>0</v>
      </c>
      <c r="BV25" s="124">
        <f t="shared" si="10"/>
        <v>0</v>
      </c>
      <c r="BW25" s="21">
        <f t="shared" si="21"/>
        <v>0</v>
      </c>
      <c r="BX25" s="21">
        <f t="shared" si="21"/>
        <v>0</v>
      </c>
      <c r="BY25" s="21">
        <f t="shared" si="21"/>
        <v>0</v>
      </c>
      <c r="BZ25" s="21">
        <f t="shared" si="21"/>
        <v>0</v>
      </c>
      <c r="CA25" s="25">
        <f t="shared" si="22"/>
        <v>0</v>
      </c>
    </row>
    <row r="26" spans="1:79" ht="15" x14ac:dyDescent="0.25">
      <c r="A26" s="146"/>
      <c r="B26" s="24" t="e">
        <f>VLOOKUP(A26,Tabeller!$W$15:$Z$23,4,FALSE)</f>
        <v>#N/A</v>
      </c>
      <c r="C26" s="197" t="s">
        <v>6</v>
      </c>
      <c r="D26" s="65">
        <v>70</v>
      </c>
      <c r="E26" s="66"/>
      <c r="F26" s="148"/>
      <c r="G26" s="148"/>
      <c r="H26" s="148"/>
      <c r="I26" s="148"/>
      <c r="J26" s="151">
        <f>SUM(F26:I26)</f>
        <v>0</v>
      </c>
      <c r="K26" s="22">
        <f>SUM(AL26:AO26)</f>
        <v>0</v>
      </c>
      <c r="L26" s="22">
        <f>IFERROR(SUM(AQ26:AT26),0)</f>
        <v>0</v>
      </c>
      <c r="M26" s="22">
        <f>SUM(K26:L26)</f>
        <v>0</v>
      </c>
      <c r="Z26" s="21">
        <f>D26</f>
        <v>70</v>
      </c>
      <c r="AA26" s="21">
        <f>IF(Budsjett!D26&gt;0,LOOKUP(Budsjett!D26,Tabeller!$A$4:$B$200),LOOKUP(Z26,Tabeller!$A$4:$B$200))</f>
        <v>692400</v>
      </c>
      <c r="AB26" s="21">
        <f>AA26*Tabeller!$I$33</f>
        <v>702785.99999999988</v>
      </c>
      <c r="AC26" s="21">
        <f>AA26*(Tabeller!$I$33)*Tabeller!$L$23</f>
        <v>634597.5813759322</v>
      </c>
      <c r="AD26" s="21">
        <f>AB26*Tabeller!$M$24</f>
        <v>75793.13217410662</v>
      </c>
      <c r="AE26" s="21">
        <f>AB26*Tabeller!$L$26</f>
        <v>113382.28066927506</v>
      </c>
      <c r="AF26" s="21">
        <f>AB26*Tabeller!$L$25</f>
        <v>93380.358995658462</v>
      </c>
      <c r="AG26" s="21">
        <f>SUM(AC26:AF26)</f>
        <v>917153.35321497242</v>
      </c>
      <c r="AH26" s="21">
        <f>AG26+(Registrering!$E$27)</f>
        <v>1339433.3532149724</v>
      </c>
      <c r="AI26" s="21">
        <f>AH26/Tabeller!$H$3</f>
        <v>822.74775996005678</v>
      </c>
      <c r="AL26" s="21">
        <f>((F26*Budsjett!$AG26))</f>
        <v>0</v>
      </c>
      <c r="AM26" s="21">
        <f>((G26*Budsjett!$AG26)*(Tabeller!J$33))</f>
        <v>0</v>
      </c>
      <c r="AN26" s="21">
        <f>((H26*Budsjett!$AG26)*(Tabeller!K$33))</f>
        <v>0</v>
      </c>
      <c r="AO26" s="21">
        <f>((I26*Budsjett!$AG26)*(Tabeller!L$33))</f>
        <v>0</v>
      </c>
      <c r="AQ26" s="21">
        <f>IFERROR(AL26*Budsjett!$G$61,0)</f>
        <v>0</v>
      </c>
      <c r="AR26" s="21">
        <f>IFERROR(AM26*Budsjett!$G$61,0)</f>
        <v>0</v>
      </c>
      <c r="AS26" s="21">
        <f>IFERROR(AN26*Budsjett!$G$61,0)</f>
        <v>0</v>
      </c>
      <c r="AT26" s="21">
        <f>IFERROR(AO26*Budsjett!$G$61,0)</f>
        <v>0</v>
      </c>
      <c r="AW26" s="21"/>
      <c r="AX26" s="21"/>
      <c r="AY26" s="21"/>
      <c r="AZ26" s="21"/>
      <c r="BC26" s="21">
        <f t="shared" si="19"/>
        <v>0</v>
      </c>
      <c r="BD26" s="21">
        <f t="shared" si="19"/>
        <v>0</v>
      </c>
      <c r="BE26" s="21">
        <f t="shared" si="19"/>
        <v>0</v>
      </c>
      <c r="BF26" s="21">
        <f t="shared" si="19"/>
        <v>0</v>
      </c>
      <c r="BO26" s="124">
        <f t="shared" si="7"/>
        <v>0</v>
      </c>
      <c r="BP26" s="21"/>
      <c r="BQ26" s="21"/>
      <c r="BR26" s="21"/>
      <c r="BS26" s="21"/>
      <c r="BT26" s="25">
        <f t="shared" si="20"/>
        <v>0</v>
      </c>
      <c r="BV26" s="124">
        <f t="shared" si="10"/>
        <v>0</v>
      </c>
      <c r="BW26" s="21">
        <f t="shared" si="21"/>
        <v>0</v>
      </c>
      <c r="BX26" s="21">
        <f t="shared" si="21"/>
        <v>0</v>
      </c>
      <c r="BY26" s="21">
        <f t="shared" si="21"/>
        <v>0</v>
      </c>
      <c r="BZ26" s="21">
        <f t="shared" si="21"/>
        <v>0</v>
      </c>
      <c r="CA26" s="25">
        <f t="shared" si="22"/>
        <v>0</v>
      </c>
    </row>
    <row r="27" spans="1:79" ht="15" x14ac:dyDescent="0.25">
      <c r="A27" s="146"/>
      <c r="B27" s="24" t="e">
        <f>VLOOKUP(A27,Tabeller!$W$15:$Z$23,4,FALSE)</f>
        <v>#N/A</v>
      </c>
      <c r="C27" s="197" t="s">
        <v>6</v>
      </c>
      <c r="D27" s="65">
        <v>70</v>
      </c>
      <c r="E27" s="66"/>
      <c r="F27" s="148"/>
      <c r="G27" s="148"/>
      <c r="H27" s="148"/>
      <c r="I27" s="148"/>
      <c r="J27" s="151">
        <f t="shared" ref="J27:J33" si="23">SUM(F27:I27)</f>
        <v>0</v>
      </c>
      <c r="K27" s="22">
        <f t="shared" ref="K27:K33" si="24">SUM(AL27:AO27)</f>
        <v>0</v>
      </c>
      <c r="L27" s="22">
        <f t="shared" ref="L27:L33" si="25">IFERROR(SUM(AQ27:AT27),0)</f>
        <v>0</v>
      </c>
      <c r="M27" s="22">
        <f t="shared" ref="M27:M33" si="26">SUM(K27:L27)</f>
        <v>0</v>
      </c>
      <c r="Z27" s="21">
        <f t="shared" ref="Z27:Z33" si="27">D27</f>
        <v>70</v>
      </c>
      <c r="AA27" s="21">
        <f>IF(Budsjett!D27&gt;0,LOOKUP(Budsjett!D27,Tabeller!$A$4:$B$200),LOOKUP(Z27,Tabeller!$A$4:$B$200))</f>
        <v>692400</v>
      </c>
      <c r="AB27" s="21">
        <f>AA27*Tabeller!$I$33</f>
        <v>702785.99999999988</v>
      </c>
      <c r="AC27" s="21">
        <f>AA27*(Tabeller!$I$33)*Tabeller!$L$23</f>
        <v>634597.5813759322</v>
      </c>
      <c r="AD27" s="21">
        <f>AB27*Tabeller!$M$24</f>
        <v>75793.13217410662</v>
      </c>
      <c r="AE27" s="21">
        <f>AB27*Tabeller!$L$26</f>
        <v>113382.28066927506</v>
      </c>
      <c r="AF27" s="21">
        <f>AB27*Tabeller!$L$25</f>
        <v>93380.358995658462</v>
      </c>
      <c r="AG27" s="21">
        <f t="shared" ref="AG27:AG33" si="28">SUM(AC27:AF27)</f>
        <v>917153.35321497242</v>
      </c>
      <c r="AH27" s="21">
        <f>AG27+(Registrering!$E$27)</f>
        <v>1339433.3532149724</v>
      </c>
      <c r="AI27" s="21">
        <f>AH27/Tabeller!$H$3</f>
        <v>822.74775996005678</v>
      </c>
      <c r="AL27" s="21">
        <f>((F27*Budsjett!$AG27))</f>
        <v>0</v>
      </c>
      <c r="AM27" s="21">
        <f>((G27*Budsjett!$AG27)*(Tabeller!J$33))</f>
        <v>0</v>
      </c>
      <c r="AN27" s="21">
        <f>((H27*Budsjett!$AG27)*(Tabeller!K$33))</f>
        <v>0</v>
      </c>
      <c r="AO27" s="21">
        <f>((I27*Budsjett!$AG27)*(Tabeller!L$33))</f>
        <v>0</v>
      </c>
      <c r="AQ27" s="21">
        <f>IFERROR(AL27*Budsjett!$G$61,0)</f>
        <v>0</v>
      </c>
      <c r="AR27" s="21">
        <f>IFERROR(AM27*Budsjett!$G$61,0)</f>
        <v>0</v>
      </c>
      <c r="AS27" s="21">
        <f>IFERROR(AN27*Budsjett!$G$61,0)</f>
        <v>0</v>
      </c>
      <c r="AT27" s="21">
        <f>IFERROR(AO27*Budsjett!$G$61,0)</f>
        <v>0</v>
      </c>
      <c r="AW27" s="21"/>
      <c r="AX27" s="21"/>
      <c r="AY27" s="21"/>
      <c r="AZ27" s="21"/>
      <c r="BC27" s="21">
        <f t="shared" ref="BC27:BC30" si="29">AQ27</f>
        <v>0</v>
      </c>
      <c r="BD27" s="21">
        <f t="shared" ref="BD27:BD30" si="30">AR27</f>
        <v>0</v>
      </c>
      <c r="BE27" s="21">
        <f t="shared" ref="BE27:BE30" si="31">AS27</f>
        <v>0</v>
      </c>
      <c r="BF27" s="21">
        <f t="shared" ref="BF27:BF30" si="32">AT27</f>
        <v>0</v>
      </c>
      <c r="BO27" s="124"/>
      <c r="BP27" s="21"/>
      <c r="BQ27" s="21"/>
      <c r="BR27" s="21"/>
      <c r="BS27" s="21"/>
      <c r="BT27" s="25"/>
      <c r="BV27" s="124">
        <f t="shared" si="10"/>
        <v>0</v>
      </c>
      <c r="BW27" s="21">
        <f t="shared" ref="BW27:BW33" si="33">IF($C27=$BV$1,AL27,0)</f>
        <v>0</v>
      </c>
      <c r="BX27" s="21">
        <f t="shared" ref="BX27:BX33" si="34">IF($C27=$BV$1,AM27,0)</f>
        <v>0</v>
      </c>
      <c r="BY27" s="21">
        <f t="shared" ref="BY27:BY33" si="35">IF($C27=$BV$1,AN27,0)</f>
        <v>0</v>
      </c>
      <c r="BZ27" s="21">
        <f t="shared" ref="BZ27:BZ33" si="36">IF($C27=$BV$1,AO27,0)</f>
        <v>0</v>
      </c>
      <c r="CA27" s="25">
        <f t="shared" si="22"/>
        <v>0</v>
      </c>
    </row>
    <row r="28" spans="1:79" ht="15" x14ac:dyDescent="0.25">
      <c r="A28" s="146"/>
      <c r="B28" s="24" t="e">
        <f>VLOOKUP(A28,Tabeller!$W$15:$Z$23,4,FALSE)</f>
        <v>#N/A</v>
      </c>
      <c r="C28" s="197" t="s">
        <v>6</v>
      </c>
      <c r="D28" s="65">
        <v>70</v>
      </c>
      <c r="E28" s="66"/>
      <c r="F28" s="148"/>
      <c r="G28" s="148"/>
      <c r="H28" s="148"/>
      <c r="I28" s="148"/>
      <c r="J28" s="151">
        <f t="shared" si="23"/>
        <v>0</v>
      </c>
      <c r="K28" s="22">
        <f t="shared" si="24"/>
        <v>0</v>
      </c>
      <c r="L28" s="22">
        <f t="shared" si="25"/>
        <v>0</v>
      </c>
      <c r="M28" s="22">
        <f t="shared" si="26"/>
        <v>0</v>
      </c>
      <c r="Z28" s="21">
        <f t="shared" si="27"/>
        <v>70</v>
      </c>
      <c r="AA28" s="21">
        <f>IF(Budsjett!D28&gt;0,LOOKUP(Budsjett!D28,Tabeller!$A$4:$B$200),LOOKUP(Z28,Tabeller!$A$4:$B$200))</f>
        <v>692400</v>
      </c>
      <c r="AB28" s="21">
        <f>AA28*Tabeller!$I$33</f>
        <v>702785.99999999988</v>
      </c>
      <c r="AC28" s="21">
        <f>AA28*(Tabeller!$I$33)*Tabeller!$L$23</f>
        <v>634597.5813759322</v>
      </c>
      <c r="AD28" s="21">
        <f>AB28*Tabeller!$M$24</f>
        <v>75793.13217410662</v>
      </c>
      <c r="AE28" s="21">
        <f>AB28*Tabeller!$L$26</f>
        <v>113382.28066927506</v>
      </c>
      <c r="AF28" s="21">
        <f>AB28*Tabeller!$L$25</f>
        <v>93380.358995658462</v>
      </c>
      <c r="AG28" s="21">
        <f t="shared" si="28"/>
        <v>917153.35321497242</v>
      </c>
      <c r="AH28" s="21">
        <f>AG28+(Registrering!$E$27)</f>
        <v>1339433.3532149724</v>
      </c>
      <c r="AI28" s="21">
        <f>AH28/Tabeller!$H$3</f>
        <v>822.74775996005678</v>
      </c>
      <c r="AL28" s="21">
        <f>((F28*Budsjett!$AG28))</f>
        <v>0</v>
      </c>
      <c r="AM28" s="21">
        <f>((G28*Budsjett!$AG28)*(Tabeller!J$33))</f>
        <v>0</v>
      </c>
      <c r="AN28" s="21">
        <f>((H28*Budsjett!$AG28)*(Tabeller!K$33))</f>
        <v>0</v>
      </c>
      <c r="AO28" s="21">
        <f>((I28*Budsjett!$AG28)*(Tabeller!L$33))</f>
        <v>0</v>
      </c>
      <c r="AQ28" s="21">
        <f>IFERROR(AL28*Budsjett!$G$61,0)</f>
        <v>0</v>
      </c>
      <c r="AR28" s="21">
        <f>IFERROR(AM28*Budsjett!$G$61,0)</f>
        <v>0</v>
      </c>
      <c r="AS28" s="21">
        <f>IFERROR(AN28*Budsjett!$G$61,0)</f>
        <v>0</v>
      </c>
      <c r="AT28" s="21">
        <f>IFERROR(AO28*Budsjett!$G$61,0)</f>
        <v>0</v>
      </c>
      <c r="AW28" s="21"/>
      <c r="AX28" s="21"/>
      <c r="AY28" s="21"/>
      <c r="AZ28" s="21"/>
      <c r="BC28" s="21">
        <f t="shared" si="29"/>
        <v>0</v>
      </c>
      <c r="BD28" s="21">
        <f t="shared" si="30"/>
        <v>0</v>
      </c>
      <c r="BE28" s="21">
        <f t="shared" si="31"/>
        <v>0</v>
      </c>
      <c r="BF28" s="21">
        <f t="shared" si="32"/>
        <v>0</v>
      </c>
      <c r="BO28" s="124"/>
      <c r="BP28" s="21"/>
      <c r="BQ28" s="21"/>
      <c r="BR28" s="21"/>
      <c r="BS28" s="21"/>
      <c r="BT28" s="25"/>
      <c r="BV28" s="124">
        <f t="shared" si="10"/>
        <v>0</v>
      </c>
      <c r="BW28" s="21">
        <f t="shared" si="33"/>
        <v>0</v>
      </c>
      <c r="BX28" s="21">
        <f t="shared" si="34"/>
        <v>0</v>
      </c>
      <c r="BY28" s="21">
        <f t="shared" si="35"/>
        <v>0</v>
      </c>
      <c r="BZ28" s="21">
        <f t="shared" si="36"/>
        <v>0</v>
      </c>
      <c r="CA28" s="25">
        <f t="shared" si="22"/>
        <v>0</v>
      </c>
    </row>
    <row r="29" spans="1:79" ht="15" x14ac:dyDescent="0.25">
      <c r="A29" s="146"/>
      <c r="B29" s="24" t="e">
        <f>VLOOKUP(A29,Tabeller!$W$15:$Z$23,4,FALSE)</f>
        <v>#N/A</v>
      </c>
      <c r="C29" s="197" t="s">
        <v>6</v>
      </c>
      <c r="D29" s="65">
        <v>70</v>
      </c>
      <c r="E29" s="66"/>
      <c r="F29" s="148"/>
      <c r="G29" s="148"/>
      <c r="H29" s="148"/>
      <c r="I29" s="148"/>
      <c r="J29" s="151">
        <f t="shared" si="23"/>
        <v>0</v>
      </c>
      <c r="K29" s="22">
        <f t="shared" si="24"/>
        <v>0</v>
      </c>
      <c r="L29" s="22">
        <f t="shared" si="25"/>
        <v>0</v>
      </c>
      <c r="M29" s="22">
        <f t="shared" si="26"/>
        <v>0</v>
      </c>
      <c r="Z29" s="21">
        <f t="shared" si="27"/>
        <v>70</v>
      </c>
      <c r="AA29" s="21">
        <f>IF(Budsjett!D29&gt;0,LOOKUP(Budsjett!D29,Tabeller!$A$4:$B$200),LOOKUP(Z29,Tabeller!$A$4:$B$200))</f>
        <v>692400</v>
      </c>
      <c r="AB29" s="21">
        <f>AA29*Tabeller!$I$33</f>
        <v>702785.99999999988</v>
      </c>
      <c r="AC29" s="21">
        <f>AA29*(Tabeller!$I$33)*Tabeller!$L$23</f>
        <v>634597.5813759322</v>
      </c>
      <c r="AD29" s="21">
        <f>AB29*Tabeller!$M$24</f>
        <v>75793.13217410662</v>
      </c>
      <c r="AE29" s="21">
        <f>AB29*Tabeller!$L$26</f>
        <v>113382.28066927506</v>
      </c>
      <c r="AF29" s="21">
        <f>AB29*Tabeller!$L$25</f>
        <v>93380.358995658462</v>
      </c>
      <c r="AG29" s="21">
        <f t="shared" si="28"/>
        <v>917153.35321497242</v>
      </c>
      <c r="AH29" s="21">
        <f>AG29+(Registrering!$E$27)</f>
        <v>1339433.3532149724</v>
      </c>
      <c r="AI29" s="21">
        <f>AH29/Tabeller!$H$3</f>
        <v>822.74775996005678</v>
      </c>
      <c r="AL29" s="21">
        <f>((F29*Budsjett!$AG29))</f>
        <v>0</v>
      </c>
      <c r="AM29" s="21">
        <f>((G29*Budsjett!$AG29)*(Tabeller!J$33))</f>
        <v>0</v>
      </c>
      <c r="AN29" s="21">
        <f>((H29*Budsjett!$AG29)*(Tabeller!K$33))</f>
        <v>0</v>
      </c>
      <c r="AO29" s="21">
        <f>((I29*Budsjett!$AG29)*(Tabeller!L$33))</f>
        <v>0</v>
      </c>
      <c r="AQ29" s="21">
        <f>IFERROR(AL29*Budsjett!$G$61,0)</f>
        <v>0</v>
      </c>
      <c r="AR29" s="21">
        <f>IFERROR(AM29*Budsjett!$G$61,0)</f>
        <v>0</v>
      </c>
      <c r="AS29" s="21">
        <f>IFERROR(AN29*Budsjett!$G$61,0)</f>
        <v>0</v>
      </c>
      <c r="AT29" s="21">
        <f>IFERROR(AO29*Budsjett!$G$61,0)</f>
        <v>0</v>
      </c>
      <c r="AW29" s="21"/>
      <c r="AX29" s="21"/>
      <c r="AY29" s="21"/>
      <c r="AZ29" s="21"/>
      <c r="BC29" s="21">
        <f t="shared" si="29"/>
        <v>0</v>
      </c>
      <c r="BD29" s="21">
        <f t="shared" si="30"/>
        <v>0</v>
      </c>
      <c r="BE29" s="21">
        <f t="shared" si="31"/>
        <v>0</v>
      </c>
      <c r="BF29" s="21">
        <f t="shared" si="32"/>
        <v>0</v>
      </c>
      <c r="BO29" s="124"/>
      <c r="BP29" s="21"/>
      <c r="BQ29" s="21"/>
      <c r="BR29" s="21"/>
      <c r="BS29" s="21"/>
      <c r="BT29" s="25"/>
      <c r="BV29" s="124">
        <f t="shared" si="10"/>
        <v>0</v>
      </c>
      <c r="BW29" s="21">
        <f t="shared" si="33"/>
        <v>0</v>
      </c>
      <c r="BX29" s="21">
        <f t="shared" si="34"/>
        <v>0</v>
      </c>
      <c r="BY29" s="21">
        <f t="shared" si="35"/>
        <v>0</v>
      </c>
      <c r="BZ29" s="21">
        <f t="shared" si="36"/>
        <v>0</v>
      </c>
      <c r="CA29" s="25">
        <f t="shared" si="22"/>
        <v>0</v>
      </c>
    </row>
    <row r="30" spans="1:79" ht="15" x14ac:dyDescent="0.25">
      <c r="A30" s="146"/>
      <c r="B30" s="24" t="e">
        <f>VLOOKUP(A30,Tabeller!$W$15:$Z$23,4,FALSE)</f>
        <v>#N/A</v>
      </c>
      <c r="C30" s="197" t="s">
        <v>6</v>
      </c>
      <c r="D30" s="65">
        <v>70</v>
      </c>
      <c r="E30" s="66"/>
      <c r="F30" s="148"/>
      <c r="G30" s="148"/>
      <c r="H30" s="148"/>
      <c r="I30" s="148"/>
      <c r="J30" s="151">
        <f t="shared" si="23"/>
        <v>0</v>
      </c>
      <c r="K30" s="22">
        <f t="shared" si="24"/>
        <v>0</v>
      </c>
      <c r="L30" s="22">
        <f t="shared" si="25"/>
        <v>0</v>
      </c>
      <c r="M30" s="22">
        <f t="shared" si="26"/>
        <v>0</v>
      </c>
      <c r="Z30" s="21">
        <f t="shared" si="27"/>
        <v>70</v>
      </c>
      <c r="AA30" s="21">
        <f>IF(Budsjett!D30&gt;0,LOOKUP(Budsjett!D30,Tabeller!$A$4:$B$200),LOOKUP(Z30,Tabeller!$A$4:$B$200))</f>
        <v>692400</v>
      </c>
      <c r="AB30" s="21">
        <f>AA30*Tabeller!$I$33</f>
        <v>702785.99999999988</v>
      </c>
      <c r="AC30" s="21">
        <f>AA30*(Tabeller!$I$33)*Tabeller!$L$23</f>
        <v>634597.5813759322</v>
      </c>
      <c r="AD30" s="21">
        <f>AB30*Tabeller!$M$24</f>
        <v>75793.13217410662</v>
      </c>
      <c r="AE30" s="21">
        <f>AB30*Tabeller!$L$26</f>
        <v>113382.28066927506</v>
      </c>
      <c r="AF30" s="21">
        <f>AB30*Tabeller!$L$25</f>
        <v>93380.358995658462</v>
      </c>
      <c r="AG30" s="21">
        <f t="shared" si="28"/>
        <v>917153.35321497242</v>
      </c>
      <c r="AH30" s="21">
        <f>AG30+(Registrering!$E$27)</f>
        <v>1339433.3532149724</v>
      </c>
      <c r="AI30" s="21">
        <f>AH30/Tabeller!$H$3</f>
        <v>822.74775996005678</v>
      </c>
      <c r="AL30" s="21">
        <f>((F30*Budsjett!$AG30))</f>
        <v>0</v>
      </c>
      <c r="AM30" s="21">
        <f>((G30*Budsjett!$AG30)*(Tabeller!J$33))</f>
        <v>0</v>
      </c>
      <c r="AN30" s="21">
        <f>((H30*Budsjett!$AG30)*(Tabeller!K$33))</f>
        <v>0</v>
      </c>
      <c r="AO30" s="21">
        <f>((I30*Budsjett!$AG30)*(Tabeller!L$33))</f>
        <v>0</v>
      </c>
      <c r="AQ30" s="21">
        <f>IFERROR(AL30*Budsjett!$G$61,0)</f>
        <v>0</v>
      </c>
      <c r="AR30" s="21">
        <f>IFERROR(AM30*Budsjett!$G$61,0)</f>
        <v>0</v>
      </c>
      <c r="AS30" s="21">
        <f>IFERROR(AN30*Budsjett!$G$61,0)</f>
        <v>0</v>
      </c>
      <c r="AT30" s="21">
        <f>IFERROR(AO30*Budsjett!$G$61,0)</f>
        <v>0</v>
      </c>
      <c r="AW30" s="21"/>
      <c r="AX30" s="21"/>
      <c r="AY30" s="21"/>
      <c r="AZ30" s="21"/>
      <c r="BC30" s="21">
        <f t="shared" si="29"/>
        <v>0</v>
      </c>
      <c r="BD30" s="21">
        <f t="shared" si="30"/>
        <v>0</v>
      </c>
      <c r="BE30" s="21">
        <f t="shared" si="31"/>
        <v>0</v>
      </c>
      <c r="BF30" s="21">
        <f t="shared" si="32"/>
        <v>0</v>
      </c>
      <c r="BO30" s="124"/>
      <c r="BP30" s="21"/>
      <c r="BQ30" s="21"/>
      <c r="BR30" s="21"/>
      <c r="BS30" s="21"/>
      <c r="BT30" s="25"/>
      <c r="BV30" s="124">
        <f t="shared" si="10"/>
        <v>0</v>
      </c>
      <c r="BW30" s="21">
        <f t="shared" si="33"/>
        <v>0</v>
      </c>
      <c r="BX30" s="21">
        <f t="shared" si="34"/>
        <v>0</v>
      </c>
      <c r="BY30" s="21">
        <f t="shared" si="35"/>
        <v>0</v>
      </c>
      <c r="BZ30" s="21">
        <f t="shared" si="36"/>
        <v>0</v>
      </c>
      <c r="CA30" s="25">
        <f t="shared" si="22"/>
        <v>0</v>
      </c>
    </row>
    <row r="31" spans="1:79" ht="15" x14ac:dyDescent="0.25">
      <c r="A31" s="146"/>
      <c r="B31" s="24" t="e">
        <f>VLOOKUP(A31,Tabeller!$W$15:$Z$23,4,FALSE)</f>
        <v>#N/A</v>
      </c>
      <c r="C31" s="197" t="s">
        <v>6</v>
      </c>
      <c r="D31" s="65">
        <v>70</v>
      </c>
      <c r="E31" s="66"/>
      <c r="F31" s="148"/>
      <c r="G31" s="148"/>
      <c r="H31" s="148"/>
      <c r="I31" s="148"/>
      <c r="J31" s="151">
        <f t="shared" si="23"/>
        <v>0</v>
      </c>
      <c r="K31" s="22">
        <f t="shared" si="24"/>
        <v>0</v>
      </c>
      <c r="L31" s="22">
        <f t="shared" si="25"/>
        <v>0</v>
      </c>
      <c r="M31" s="22">
        <f t="shared" si="26"/>
        <v>0</v>
      </c>
      <c r="Z31" s="21">
        <f t="shared" si="27"/>
        <v>70</v>
      </c>
      <c r="AA31" s="21">
        <f>IF(Budsjett!D31&gt;0,LOOKUP(Budsjett!D31,Tabeller!$A$4:$B$200),LOOKUP(Z31,Tabeller!$A$4:$B$200))</f>
        <v>692400</v>
      </c>
      <c r="AB31" s="21">
        <f>AA31*Tabeller!$I$33</f>
        <v>702785.99999999988</v>
      </c>
      <c r="AC31" s="21">
        <f>AA31*(Tabeller!$I$33)*Tabeller!$L$23</f>
        <v>634597.5813759322</v>
      </c>
      <c r="AD31" s="21">
        <f>AB31*Tabeller!$M$24</f>
        <v>75793.13217410662</v>
      </c>
      <c r="AE31" s="21">
        <f>AB31*Tabeller!$L$26</f>
        <v>113382.28066927506</v>
      </c>
      <c r="AF31" s="21">
        <f>AB31*Tabeller!$L$25</f>
        <v>93380.358995658462</v>
      </c>
      <c r="AG31" s="21">
        <f t="shared" si="28"/>
        <v>917153.35321497242</v>
      </c>
      <c r="AH31" s="21">
        <f>AG31+(Registrering!$E$27)</f>
        <v>1339433.3532149724</v>
      </c>
      <c r="AI31" s="21">
        <f>AH31/Tabeller!$H$3</f>
        <v>822.74775996005678</v>
      </c>
      <c r="AL31" s="21">
        <f>((F31*Budsjett!$AG31))</f>
        <v>0</v>
      </c>
      <c r="AM31" s="21">
        <f>((G31*Budsjett!$AG31)*(Tabeller!J$33))</f>
        <v>0</v>
      </c>
      <c r="AN31" s="21">
        <f>((H31*Budsjett!$AG31)*(Tabeller!K$33))</f>
        <v>0</v>
      </c>
      <c r="AO31" s="21">
        <f>((I31*Budsjett!$AG31)*(Tabeller!L$33))</f>
        <v>0</v>
      </c>
      <c r="AQ31" s="21">
        <f>IFERROR(AL31*Budsjett!$G$61,0)</f>
        <v>0</v>
      </c>
      <c r="AR31" s="21">
        <f>IFERROR(AM31*Budsjett!$G$61,0)</f>
        <v>0</v>
      </c>
      <c r="AS31" s="21">
        <f>IFERROR(AN31*Budsjett!$G$61,0)</f>
        <v>0</v>
      </c>
      <c r="AT31" s="21">
        <f>IFERROR(AO31*Budsjett!$G$61,0)</f>
        <v>0</v>
      </c>
      <c r="AW31" s="21"/>
      <c r="AX31" s="21"/>
      <c r="AY31" s="21"/>
      <c r="AZ31" s="21"/>
      <c r="BC31" s="21">
        <f t="shared" ref="BC31:BC33" si="37">AQ31</f>
        <v>0</v>
      </c>
      <c r="BD31" s="21">
        <f t="shared" ref="BD31:BD33" si="38">AR31</f>
        <v>0</v>
      </c>
      <c r="BE31" s="21">
        <f t="shared" ref="BE31:BE33" si="39">AS31</f>
        <v>0</v>
      </c>
      <c r="BF31" s="21">
        <f t="shared" ref="BF31:BF33" si="40">AT31</f>
        <v>0</v>
      </c>
      <c r="BO31" s="124"/>
      <c r="BP31" s="21"/>
      <c r="BQ31" s="21"/>
      <c r="BR31" s="21"/>
      <c r="BS31" s="21"/>
      <c r="BT31" s="25"/>
      <c r="BV31" s="124">
        <f t="shared" si="10"/>
        <v>0</v>
      </c>
      <c r="BW31" s="21">
        <f t="shared" si="33"/>
        <v>0</v>
      </c>
      <c r="BX31" s="21">
        <f t="shared" si="34"/>
        <v>0</v>
      </c>
      <c r="BY31" s="21">
        <f t="shared" si="35"/>
        <v>0</v>
      </c>
      <c r="BZ31" s="21">
        <f t="shared" si="36"/>
        <v>0</v>
      </c>
      <c r="CA31" s="25">
        <f t="shared" si="22"/>
        <v>0</v>
      </c>
    </row>
    <row r="32" spans="1:79" ht="15" x14ac:dyDescent="0.25">
      <c r="A32" s="146"/>
      <c r="B32" s="24" t="e">
        <f>VLOOKUP(A32,Tabeller!$W$15:$Z$23,4,FALSE)</f>
        <v>#N/A</v>
      </c>
      <c r="C32" s="197" t="s">
        <v>6</v>
      </c>
      <c r="D32" s="65">
        <v>70</v>
      </c>
      <c r="E32" s="66"/>
      <c r="F32" s="148"/>
      <c r="G32" s="148"/>
      <c r="H32" s="148"/>
      <c r="I32" s="148"/>
      <c r="J32" s="151">
        <f t="shared" si="23"/>
        <v>0</v>
      </c>
      <c r="K32" s="22">
        <f t="shared" si="24"/>
        <v>0</v>
      </c>
      <c r="L32" s="22">
        <f t="shared" si="25"/>
        <v>0</v>
      </c>
      <c r="M32" s="22">
        <f t="shared" si="26"/>
        <v>0</v>
      </c>
      <c r="Z32" s="21">
        <f t="shared" si="27"/>
        <v>70</v>
      </c>
      <c r="AA32" s="21">
        <f>IF(Budsjett!D32&gt;0,LOOKUP(Budsjett!D32,Tabeller!$A$4:$B$200),LOOKUP(Z32,Tabeller!$A$4:$B$200))</f>
        <v>692400</v>
      </c>
      <c r="AB32" s="21">
        <f>AA32*Tabeller!$I$33</f>
        <v>702785.99999999988</v>
      </c>
      <c r="AC32" s="21">
        <f>AA32*(Tabeller!$I$33)*Tabeller!$L$23</f>
        <v>634597.5813759322</v>
      </c>
      <c r="AD32" s="21">
        <f>AB32*Tabeller!$M$24</f>
        <v>75793.13217410662</v>
      </c>
      <c r="AE32" s="21">
        <f>AB32*Tabeller!$L$26</f>
        <v>113382.28066927506</v>
      </c>
      <c r="AF32" s="21">
        <f>AB32*Tabeller!$L$25</f>
        <v>93380.358995658462</v>
      </c>
      <c r="AG32" s="21">
        <f t="shared" si="28"/>
        <v>917153.35321497242</v>
      </c>
      <c r="AH32" s="21">
        <f>AG32+(Registrering!$E$27)</f>
        <v>1339433.3532149724</v>
      </c>
      <c r="AI32" s="21">
        <f>AH32/Tabeller!$H$3</f>
        <v>822.74775996005678</v>
      </c>
      <c r="AL32" s="21">
        <f>((F32*Budsjett!$AG32))</f>
        <v>0</v>
      </c>
      <c r="AM32" s="21">
        <f>((G32*Budsjett!$AG32)*(Tabeller!J$33))</f>
        <v>0</v>
      </c>
      <c r="AN32" s="21">
        <f>((H32*Budsjett!$AG32)*(Tabeller!K$33))</f>
        <v>0</v>
      </c>
      <c r="AO32" s="21">
        <f>((I32*Budsjett!$AG32)*(Tabeller!L$33))</f>
        <v>0</v>
      </c>
      <c r="AQ32" s="21">
        <f>IFERROR(AL32*Budsjett!$G$61,0)</f>
        <v>0</v>
      </c>
      <c r="AR32" s="21">
        <f>IFERROR(AM32*Budsjett!$G$61,0)</f>
        <v>0</v>
      </c>
      <c r="AS32" s="21">
        <f>IFERROR(AN32*Budsjett!$G$61,0)</f>
        <v>0</v>
      </c>
      <c r="AT32" s="21">
        <f>IFERROR(AO32*Budsjett!$G$61,0)</f>
        <v>0</v>
      </c>
      <c r="AW32" s="21"/>
      <c r="AX32" s="21"/>
      <c r="AY32" s="21"/>
      <c r="AZ32" s="21"/>
      <c r="BC32" s="21">
        <f t="shared" si="37"/>
        <v>0</v>
      </c>
      <c r="BD32" s="21">
        <f t="shared" si="38"/>
        <v>0</v>
      </c>
      <c r="BE32" s="21">
        <f t="shared" si="39"/>
        <v>0</v>
      </c>
      <c r="BF32" s="21">
        <f t="shared" si="40"/>
        <v>0</v>
      </c>
      <c r="BO32" s="124"/>
      <c r="BP32" s="21"/>
      <c r="BQ32" s="21"/>
      <c r="BR32" s="21"/>
      <c r="BS32" s="21"/>
      <c r="BT32" s="25"/>
      <c r="BV32" s="124">
        <f t="shared" si="10"/>
        <v>0</v>
      </c>
      <c r="BW32" s="21">
        <f t="shared" si="33"/>
        <v>0</v>
      </c>
      <c r="BX32" s="21">
        <f t="shared" si="34"/>
        <v>0</v>
      </c>
      <c r="BY32" s="21">
        <f t="shared" si="35"/>
        <v>0</v>
      </c>
      <c r="BZ32" s="21">
        <f t="shared" si="36"/>
        <v>0</v>
      </c>
      <c r="CA32" s="25">
        <f t="shared" si="22"/>
        <v>0</v>
      </c>
    </row>
    <row r="33" spans="1:79" ht="15" x14ac:dyDescent="0.25">
      <c r="A33" s="146"/>
      <c r="B33" s="24" t="e">
        <f>VLOOKUP(A33,Tabeller!$W$15:$Z$23,4,FALSE)</f>
        <v>#N/A</v>
      </c>
      <c r="C33" s="197" t="s">
        <v>6</v>
      </c>
      <c r="D33" s="65">
        <v>70</v>
      </c>
      <c r="E33" s="66"/>
      <c r="F33" s="148"/>
      <c r="G33" s="148"/>
      <c r="H33" s="148"/>
      <c r="I33" s="148"/>
      <c r="J33" s="151">
        <f t="shared" si="23"/>
        <v>0</v>
      </c>
      <c r="K33" s="22">
        <f t="shared" si="24"/>
        <v>0</v>
      </c>
      <c r="L33" s="22">
        <f t="shared" si="25"/>
        <v>0</v>
      </c>
      <c r="M33" s="22">
        <f t="shared" si="26"/>
        <v>0</v>
      </c>
      <c r="Z33" s="21">
        <f t="shared" si="27"/>
        <v>70</v>
      </c>
      <c r="AA33" s="21">
        <f>IF(Budsjett!D33&gt;0,LOOKUP(Budsjett!D33,Tabeller!$A$4:$B$200),LOOKUP(Z33,Tabeller!$A$4:$B$200))</f>
        <v>692400</v>
      </c>
      <c r="AB33" s="21">
        <f>AA33*Tabeller!$I$33</f>
        <v>702785.99999999988</v>
      </c>
      <c r="AC33" s="21">
        <f>AA33*(Tabeller!$I$33)*Tabeller!$L$23</f>
        <v>634597.5813759322</v>
      </c>
      <c r="AD33" s="21">
        <f>AB33*Tabeller!$M$24</f>
        <v>75793.13217410662</v>
      </c>
      <c r="AE33" s="21">
        <f>AB33*Tabeller!$L$26</f>
        <v>113382.28066927506</v>
      </c>
      <c r="AF33" s="21">
        <f>AB33*Tabeller!$L$25</f>
        <v>93380.358995658462</v>
      </c>
      <c r="AG33" s="21">
        <f t="shared" si="28"/>
        <v>917153.35321497242</v>
      </c>
      <c r="AH33" s="21">
        <f>AG33+(Registrering!$E$27)</f>
        <v>1339433.3532149724</v>
      </c>
      <c r="AI33" s="21">
        <f>AH33/Tabeller!$H$3</f>
        <v>822.74775996005678</v>
      </c>
      <c r="AL33" s="21">
        <f>((F33*Budsjett!$AG33))</f>
        <v>0</v>
      </c>
      <c r="AM33" s="21">
        <f>((G33*Budsjett!$AG33)*(Tabeller!J$33))</f>
        <v>0</v>
      </c>
      <c r="AN33" s="21">
        <f>((H33*Budsjett!$AG33)*(Tabeller!K$33))</f>
        <v>0</v>
      </c>
      <c r="AO33" s="21">
        <f>((I33*Budsjett!$AG33)*(Tabeller!L$33))</f>
        <v>0</v>
      </c>
      <c r="AQ33" s="21">
        <f>IFERROR(AL33*Budsjett!$G$61,0)</f>
        <v>0</v>
      </c>
      <c r="AR33" s="21">
        <f>IFERROR(AM33*Budsjett!$G$61,0)</f>
        <v>0</v>
      </c>
      <c r="AS33" s="21">
        <f>IFERROR(AN33*Budsjett!$G$61,0)</f>
        <v>0</v>
      </c>
      <c r="AT33" s="21">
        <f>IFERROR(AO33*Budsjett!$G$61,0)</f>
        <v>0</v>
      </c>
      <c r="AW33" s="21"/>
      <c r="AX33" s="21"/>
      <c r="AY33" s="21"/>
      <c r="AZ33" s="21"/>
      <c r="BC33" s="21">
        <f t="shared" si="37"/>
        <v>0</v>
      </c>
      <c r="BD33" s="21">
        <f t="shared" si="38"/>
        <v>0</v>
      </c>
      <c r="BE33" s="21">
        <f t="shared" si="39"/>
        <v>0</v>
      </c>
      <c r="BF33" s="21">
        <f t="shared" si="40"/>
        <v>0</v>
      </c>
      <c r="BO33" s="124"/>
      <c r="BP33" s="21"/>
      <c r="BQ33" s="21"/>
      <c r="BR33" s="21"/>
      <c r="BS33" s="21"/>
      <c r="BT33" s="25"/>
      <c r="BV33" s="124">
        <f t="shared" si="10"/>
        <v>0</v>
      </c>
      <c r="BW33" s="21">
        <f t="shared" si="33"/>
        <v>0</v>
      </c>
      <c r="BX33" s="21">
        <f t="shared" si="34"/>
        <v>0</v>
      </c>
      <c r="BY33" s="21">
        <f t="shared" si="35"/>
        <v>0</v>
      </c>
      <c r="BZ33" s="21">
        <f t="shared" si="36"/>
        <v>0</v>
      </c>
      <c r="CA33" s="25">
        <f t="shared" si="22"/>
        <v>0</v>
      </c>
    </row>
    <row r="34" spans="1:79" ht="15" x14ac:dyDescent="0.25">
      <c r="A34" s="146"/>
      <c r="B34" s="24" t="e">
        <f>VLOOKUP(A34,Tabeller!$W$15:$Z$23,4,FALSE)</f>
        <v>#N/A</v>
      </c>
      <c r="C34" s="197" t="s">
        <v>6</v>
      </c>
      <c r="D34" s="65">
        <v>70</v>
      </c>
      <c r="E34" s="66"/>
      <c r="F34" s="148"/>
      <c r="G34" s="148"/>
      <c r="H34" s="148"/>
      <c r="I34" s="148"/>
      <c r="J34" s="151">
        <f>SUM(F34:I34)</f>
        <v>0</v>
      </c>
      <c r="K34" s="22">
        <f>SUM(AL34:AO34)</f>
        <v>0</v>
      </c>
      <c r="L34" s="22">
        <f>IFERROR(SUM(AQ34:AT34),0)</f>
        <v>0</v>
      </c>
      <c r="M34" s="22">
        <f>SUM(K34:L34)</f>
        <v>0</v>
      </c>
      <c r="Z34" s="21">
        <f>D34</f>
        <v>70</v>
      </c>
      <c r="AA34" s="21">
        <f>IF(Budsjett!D34&gt;0,LOOKUP(Budsjett!D34,Tabeller!$A$4:$B$200),LOOKUP(Z34,Tabeller!$A$4:$B$200))</f>
        <v>692400</v>
      </c>
      <c r="AB34" s="21">
        <f>AA34*Tabeller!$I$33</f>
        <v>702785.99999999988</v>
      </c>
      <c r="AC34" s="21">
        <f>AA34*(Tabeller!$I$33)*Tabeller!$L$23</f>
        <v>634597.5813759322</v>
      </c>
      <c r="AD34" s="21">
        <f>AB34*Tabeller!$M$24</f>
        <v>75793.13217410662</v>
      </c>
      <c r="AE34" s="21">
        <f>AB34*Tabeller!$L$26</f>
        <v>113382.28066927506</v>
      </c>
      <c r="AF34" s="21">
        <f>AB34*Tabeller!$L$25</f>
        <v>93380.358995658462</v>
      </c>
      <c r="AG34" s="21">
        <f>SUM(AC34:AF34)</f>
        <v>917153.35321497242</v>
      </c>
      <c r="AH34" s="21">
        <f>AG34+(Registrering!$E$27)</f>
        <v>1339433.3532149724</v>
      </c>
      <c r="AI34" s="21">
        <f>AH34/Tabeller!$H$3</f>
        <v>822.74775996005678</v>
      </c>
      <c r="AL34" s="21">
        <f>((F34*Budsjett!$AG34))</f>
        <v>0</v>
      </c>
      <c r="AM34" s="21">
        <f>((G34*Budsjett!$AG34)*(Tabeller!J$33))</f>
        <v>0</v>
      </c>
      <c r="AN34" s="21">
        <f>((H34*Budsjett!$AG34)*(Tabeller!K$33))</f>
        <v>0</v>
      </c>
      <c r="AO34" s="21">
        <f>((I34*Budsjett!$AG34)*(Tabeller!L$33))</f>
        <v>0</v>
      </c>
      <c r="AQ34" s="21">
        <f>IFERROR(AL34*Budsjett!$G$61,0)</f>
        <v>0</v>
      </c>
      <c r="AR34" s="21">
        <f>IFERROR(AM34*Budsjett!$G$61,0)</f>
        <v>0</v>
      </c>
      <c r="AS34" s="21">
        <f>IFERROR(AN34*Budsjett!$G$61,0)</f>
        <v>0</v>
      </c>
      <c r="AT34" s="21">
        <f>IFERROR(AO34*Budsjett!$G$61,0)</f>
        <v>0</v>
      </c>
      <c r="AW34" s="21"/>
      <c r="AX34" s="21"/>
      <c r="AY34" s="21"/>
      <c r="AZ34" s="21"/>
      <c r="BC34" s="21">
        <f t="shared" si="19"/>
        <v>0</v>
      </c>
      <c r="BD34" s="21">
        <f t="shared" si="19"/>
        <v>0</v>
      </c>
      <c r="BE34" s="21">
        <f t="shared" si="19"/>
        <v>0</v>
      </c>
      <c r="BF34" s="21">
        <f t="shared" si="19"/>
        <v>0</v>
      </c>
      <c r="BO34" s="124">
        <f t="shared" si="7"/>
        <v>0</v>
      </c>
      <c r="BP34" s="21"/>
      <c r="BQ34" s="21"/>
      <c r="BR34" s="21"/>
      <c r="BS34" s="21"/>
      <c r="BT34" s="25">
        <f t="shared" si="20"/>
        <v>0</v>
      </c>
      <c r="BV34" s="124">
        <f t="shared" si="10"/>
        <v>0</v>
      </c>
      <c r="BW34" s="21">
        <f t="shared" si="21"/>
        <v>0</v>
      </c>
      <c r="BX34" s="21">
        <f t="shared" si="21"/>
        <v>0</v>
      </c>
      <c r="BY34" s="21">
        <f t="shared" si="21"/>
        <v>0</v>
      </c>
      <c r="BZ34" s="21">
        <f t="shared" si="21"/>
        <v>0</v>
      </c>
      <c r="CA34" s="25">
        <f t="shared" si="22"/>
        <v>0</v>
      </c>
    </row>
    <row r="35" spans="1:79" ht="15" x14ac:dyDescent="0.25">
      <c r="A35" s="31" t="s">
        <v>0</v>
      </c>
      <c r="B35" s="31"/>
      <c r="C35" s="31"/>
      <c r="D35" s="31"/>
      <c r="E35" s="32"/>
      <c r="F35" s="149">
        <f t="shared" ref="F35:M35" si="41">SUM(F23:F34)</f>
        <v>0</v>
      </c>
      <c r="G35" s="149">
        <f t="shared" si="41"/>
        <v>0</v>
      </c>
      <c r="H35" s="149">
        <f t="shared" si="41"/>
        <v>0</v>
      </c>
      <c r="I35" s="149">
        <f t="shared" si="41"/>
        <v>0</v>
      </c>
      <c r="J35" s="150">
        <f t="shared" si="41"/>
        <v>0</v>
      </c>
      <c r="K35" s="38">
        <f t="shared" si="41"/>
        <v>0</v>
      </c>
      <c r="L35" s="38">
        <f t="shared" si="41"/>
        <v>0</v>
      </c>
      <c r="M35" s="38">
        <f t="shared" si="41"/>
        <v>0</v>
      </c>
      <c r="AL35" s="25">
        <f>SUM(AL23:AL34)</f>
        <v>0</v>
      </c>
      <c r="AM35" s="25">
        <f>SUM(AM23:AM34)</f>
        <v>0</v>
      </c>
      <c r="AN35" s="25">
        <f>SUM(AN23:AN34)</f>
        <v>0</v>
      </c>
      <c r="AO35" s="25">
        <f>SUM(AO23:AO34)</f>
        <v>0</v>
      </c>
      <c r="AP35" s="62">
        <f>SUM(AL35:AO35)</f>
        <v>0</v>
      </c>
      <c r="AQ35" s="25">
        <f>SUM(AQ23:AQ34)</f>
        <v>0</v>
      </c>
      <c r="AR35" s="25">
        <f>SUM(AR23:AR34)</f>
        <v>0</v>
      </c>
      <c r="AS35" s="25">
        <f>SUM(AS23:AS34)</f>
        <v>0</v>
      </c>
      <c r="AT35" s="25">
        <f>SUM(AT23:AT34)</f>
        <v>0</v>
      </c>
      <c r="AU35" s="62">
        <f>SUM(AQ35:AT35)</f>
        <v>0</v>
      </c>
      <c r="AW35" s="25">
        <f>SUM(AW23:AW34)</f>
        <v>0</v>
      </c>
      <c r="AX35" s="25">
        <f>SUM(AX23:AX34)</f>
        <v>0</v>
      </c>
      <c r="AY35" s="25">
        <f>SUM(AY23:AY34)</f>
        <v>0</v>
      </c>
      <c r="AZ35" s="25">
        <f>SUM(AZ23:AZ34)</f>
        <v>0</v>
      </c>
      <c r="BC35" s="25">
        <f>SUM(BC23:BC34)</f>
        <v>0</v>
      </c>
      <c r="BD35" s="25">
        <f>SUM(BD23:BD34)</f>
        <v>0</v>
      </c>
      <c r="BE35" s="25">
        <f>SUM(BE23:BE34)</f>
        <v>0</v>
      </c>
      <c r="BF35" s="25">
        <f>SUM(BF23:BF34)</f>
        <v>0</v>
      </c>
      <c r="BG35" s="62">
        <f>SUM(BC35:BF35)</f>
        <v>0</v>
      </c>
      <c r="BO35" s="124" t="str">
        <f t="shared" si="7"/>
        <v>Sum</v>
      </c>
      <c r="BP35" s="21"/>
      <c r="BQ35" s="21"/>
      <c r="BR35" s="21"/>
      <c r="BS35" s="21"/>
      <c r="BT35" s="25">
        <f t="shared" si="20"/>
        <v>0</v>
      </c>
      <c r="BV35" s="124" t="str">
        <f t="shared" si="10"/>
        <v>Sum</v>
      </c>
      <c r="BW35" s="25">
        <f>SUM(BW23:BW34)</f>
        <v>0</v>
      </c>
      <c r="BX35" s="25">
        <f>SUM(BX23:BX34)</f>
        <v>0</v>
      </c>
      <c r="BY35" s="25">
        <f>SUM(BY23:BY34)</f>
        <v>0</v>
      </c>
      <c r="BZ35" s="25">
        <f>SUM(BZ23:BZ34)</f>
        <v>0</v>
      </c>
      <c r="CA35" s="25">
        <f t="shared" si="22"/>
        <v>0</v>
      </c>
    </row>
    <row r="36" spans="1:79" ht="21" x14ac:dyDescent="0.35">
      <c r="A36" s="55" t="s">
        <v>163</v>
      </c>
      <c r="B36" s="55"/>
      <c r="C36" s="49"/>
      <c r="D36" s="49"/>
      <c r="E36" s="55"/>
      <c r="F36" s="61" t="s">
        <v>167</v>
      </c>
      <c r="K36" s="47"/>
      <c r="BO36" s="124" t="str">
        <f t="shared" si="7"/>
        <v>Timelønn - dekkes av prosjektbevilgning</v>
      </c>
      <c r="BV36" s="124" t="str">
        <f t="shared" si="10"/>
        <v>Timelønn - dekkes av prosjektbevilgning</v>
      </c>
    </row>
    <row r="37" spans="1:79" ht="15" x14ac:dyDescent="0.25">
      <c r="A37" s="125"/>
      <c r="B37" s="125"/>
      <c r="C37" s="125"/>
      <c r="D37" s="125" t="s">
        <v>35</v>
      </c>
      <c r="E37" s="125" t="s">
        <v>58</v>
      </c>
      <c r="F37" s="126" t="str">
        <f>F22</f>
        <v>Periode 1 (1-18 month)</v>
      </c>
      <c r="G37" s="126" t="str">
        <f>G22</f>
        <v>Periode 2 (19-36 month)</v>
      </c>
      <c r="H37" s="126" t="str">
        <f>H22</f>
        <v>Periode 3 (37-54 month)</v>
      </c>
      <c r="I37" s="126" t="str">
        <f>I22</f>
        <v>Periode 4 (55-60 (72) month)</v>
      </c>
      <c r="J37" s="127" t="s">
        <v>0</v>
      </c>
      <c r="K37" s="127" t="s">
        <v>161</v>
      </c>
      <c r="L37" s="127" t="s">
        <v>60</v>
      </c>
      <c r="M37" s="127" t="s">
        <v>61</v>
      </c>
      <c r="Z37" s="63" t="s">
        <v>48</v>
      </c>
      <c r="AA37" s="64" t="s">
        <v>2</v>
      </c>
      <c r="AB37" s="64" t="s">
        <v>169</v>
      </c>
      <c r="AC37" s="64" t="s">
        <v>26</v>
      </c>
      <c r="AD37" s="64" t="s">
        <v>31</v>
      </c>
      <c r="AE37" s="64" t="s">
        <v>27</v>
      </c>
      <c r="AF37" s="64" t="s">
        <v>28</v>
      </c>
      <c r="AG37" s="64" t="s">
        <v>21</v>
      </c>
      <c r="AH37" s="64" t="s">
        <v>22</v>
      </c>
      <c r="AL37" s="25" t="str">
        <f>F37</f>
        <v>Periode 1 (1-18 month)</v>
      </c>
      <c r="AM37" s="25" t="str">
        <f>G37</f>
        <v>Periode 2 (19-36 month)</v>
      </c>
      <c r="AN37" s="25" t="str">
        <f>H37</f>
        <v>Periode 3 (37-54 month)</v>
      </c>
      <c r="AO37" s="25" t="str">
        <f>I37</f>
        <v>Periode 4 (55-60 (72) month)</v>
      </c>
      <c r="AQ37" s="21" t="str">
        <f>AL37</f>
        <v>Periode 1 (1-18 month)</v>
      </c>
      <c r="AR37" s="21" t="str">
        <f>AM37</f>
        <v>Periode 2 (19-36 month)</v>
      </c>
      <c r="AS37" s="21" t="str">
        <f>AN37</f>
        <v>Periode 3 (37-54 month)</v>
      </c>
      <c r="AT37" s="21" t="str">
        <f>AO37</f>
        <v>Periode 4 (55-60 (72) month)</v>
      </c>
      <c r="AW37" s="25" t="str">
        <f>AQ37</f>
        <v>Periode 1 (1-18 month)</v>
      </c>
      <c r="AX37" s="25" t="str">
        <f>AR37</f>
        <v>Periode 2 (19-36 month)</v>
      </c>
      <c r="AY37" s="25" t="str">
        <f>AS37</f>
        <v>Periode 3 (37-54 month)</v>
      </c>
      <c r="AZ37" s="25" t="str">
        <f>AT37</f>
        <v>Periode 4 (55-60 (72) month)</v>
      </c>
      <c r="BC37" s="25" t="str">
        <f>F3</f>
        <v>Periode 1 (1-18 month)</v>
      </c>
      <c r="BD37" s="25" t="str">
        <f>G3</f>
        <v>Periode 2 (19-36 month)</v>
      </c>
      <c r="BE37" s="25" t="str">
        <f>H3</f>
        <v>Periode 3 (37-54 month)</v>
      </c>
      <c r="BF37" s="25" t="str">
        <f>I3</f>
        <v>Periode 4 (55-60 (72) month)</v>
      </c>
      <c r="BO37" s="124">
        <f t="shared" si="7"/>
        <v>0</v>
      </c>
      <c r="BP37" s="25" t="str">
        <f>BP22</f>
        <v>Periode 1 (1-18 month)</v>
      </c>
      <c r="BQ37" s="25" t="str">
        <f>BQ22</f>
        <v>Periode 2 (19-36 month)</v>
      </c>
      <c r="BR37" s="25" t="str">
        <f>BR22</f>
        <v>Periode 3 (37-54 month)</v>
      </c>
      <c r="BS37" s="25" t="str">
        <f>BS22</f>
        <v>Periode 4 (55-60 (72) month)</v>
      </c>
      <c r="BT37" s="25" t="str">
        <f>BT22</f>
        <v>Sum årsv</v>
      </c>
      <c r="BV37" s="124">
        <f t="shared" si="10"/>
        <v>0</v>
      </c>
      <c r="BW37" s="25" t="str">
        <f>BW22</f>
        <v>Periode 1 (1-18 month)</v>
      </c>
      <c r="BX37" s="25" t="str">
        <f>BX22</f>
        <v>Periode 2 (19-36 month)</v>
      </c>
      <c r="BY37" s="25" t="str">
        <f>BY22</f>
        <v>Periode 3 (37-54 month)</v>
      </c>
      <c r="BZ37" s="25" t="str">
        <f>BZ22</f>
        <v>Periode 4 (55-60 (72) month)</v>
      </c>
      <c r="CA37" s="25" t="str">
        <f>CA22</f>
        <v>Sum årsv</v>
      </c>
    </row>
    <row r="38" spans="1:79" ht="15" x14ac:dyDescent="0.25">
      <c r="A38" s="24" t="s">
        <v>160</v>
      </c>
      <c r="B38" s="24"/>
      <c r="C38" s="399" t="s">
        <v>225</v>
      </c>
      <c r="D38" s="65">
        <v>50</v>
      </c>
      <c r="E38" s="66"/>
      <c r="F38" s="404"/>
      <c r="G38" s="404"/>
      <c r="H38" s="404"/>
      <c r="I38" s="404"/>
      <c r="J38" s="151">
        <f>SUM(F38:I38)</f>
        <v>0</v>
      </c>
      <c r="K38" s="22">
        <f>SUM(AL38:AO38)</f>
        <v>0</v>
      </c>
      <c r="L38" s="22">
        <f>IFERROR(SUM(AQ38:AT38),0)</f>
        <v>0</v>
      </c>
      <c r="M38" s="22">
        <f>SUM(K38:L38)</f>
        <v>0</v>
      </c>
      <c r="Z38" s="21">
        <f>D38</f>
        <v>50</v>
      </c>
      <c r="AA38" s="21">
        <f>IF(Budsjett!D38&gt;0,LOOKUP(Budsjett!D38,Tabeller!$C$4:$D$200),LOOKUP(Z38,Tabeller!$A$4:$B$200))</f>
        <v>226.66666666666666</v>
      </c>
      <c r="AB38" s="21">
        <f>AA38*Tabeller!$I$33</f>
        <v>230.06666666666663</v>
      </c>
      <c r="AC38" s="21">
        <f>AA38</f>
        <v>226.66666666666666</v>
      </c>
      <c r="AD38" s="21">
        <f>AB38*Tabeller!$L$24</f>
        <v>24.929309955842516</v>
      </c>
      <c r="AE38" s="21">
        <f>AB38*Tabeller!$L$26</f>
        <v>37.117249593253916</v>
      </c>
      <c r="AF38" s="21"/>
      <c r="AG38" s="21">
        <f>SUM(AC38:AF38)</f>
        <v>288.71322621576309</v>
      </c>
      <c r="AH38" s="21">
        <f>AG38+(Registrering!$E$27)</f>
        <v>422568.71322621574</v>
      </c>
      <c r="AL38" s="21">
        <f>((F38*Budsjett!$AG38)*(Tabeller!I$33))</f>
        <v>0</v>
      </c>
      <c r="AM38" s="21">
        <f>((G38*Budsjett!$AG38)*(Tabeller!J$33))</f>
        <v>0</v>
      </c>
      <c r="AN38" s="21">
        <f>((H38*Budsjett!$AG38)*(Tabeller!K$33))</f>
        <v>0</v>
      </c>
      <c r="AO38" s="21">
        <f>((I38*Budsjett!$AG38)*(Tabeller!L$33))</f>
        <v>0</v>
      </c>
      <c r="AQ38" s="21">
        <f>IFERROR(AL38*Budsjett!$G$61,0)</f>
        <v>0</v>
      </c>
      <c r="AR38" s="21">
        <f>IFERROR(AM38*Budsjett!$G$61,0)</f>
        <v>0</v>
      </c>
      <c r="AS38" s="21">
        <f>IFERROR(AN38*Budsjett!$G$61,0)</f>
        <v>0</v>
      </c>
      <c r="AT38" s="21">
        <f>IFERROR(AO38*Budsjett!$G$61,0)</f>
        <v>0</v>
      </c>
      <c r="AW38" s="21">
        <f>IFERROR(AL38*Budsjett!AW$62,0)</f>
        <v>0</v>
      </c>
      <c r="AX38" s="21">
        <f>IFERROR(AM38*Budsjett!AX$62,0)</f>
        <v>0</v>
      </c>
      <c r="AY38" s="21">
        <f>IFERROR(AN38*Budsjett!AY$62,0)</f>
        <v>0</v>
      </c>
      <c r="AZ38" s="21">
        <f>IFERROR(AO38*Budsjett!AZ$62,0)</f>
        <v>0</v>
      </c>
      <c r="BC38" s="21">
        <f t="shared" ref="BC38:BF40" si="42">AQ38-AW38</f>
        <v>0</v>
      </c>
      <c r="BD38" s="21">
        <f t="shared" si="42"/>
        <v>0</v>
      </c>
      <c r="BE38" s="21">
        <f t="shared" si="42"/>
        <v>0</v>
      </c>
      <c r="BF38" s="21">
        <f t="shared" si="42"/>
        <v>0</v>
      </c>
      <c r="BO38" s="124" t="str">
        <f t="shared" si="7"/>
        <v>Timebasert lønn</v>
      </c>
      <c r="BP38" s="21">
        <f t="shared" ref="BP38:BS40" si="43">IF($C38=$BO$1,AL38,0)</f>
        <v>0</v>
      </c>
      <c r="BQ38" s="21">
        <f t="shared" si="43"/>
        <v>0</v>
      </c>
      <c r="BR38" s="21">
        <f t="shared" si="43"/>
        <v>0</v>
      </c>
      <c r="BS38" s="21">
        <f t="shared" si="43"/>
        <v>0</v>
      </c>
      <c r="BT38" s="25">
        <f>SUM(BP38:BS38)</f>
        <v>0</v>
      </c>
      <c r="BV38" s="124" t="str">
        <f t="shared" si="10"/>
        <v>Timebasert lønn</v>
      </c>
      <c r="BW38" s="21"/>
      <c r="BX38" s="21"/>
      <c r="BY38" s="21"/>
      <c r="BZ38" s="21"/>
      <c r="CA38" s="25">
        <f>SUM(BW38:BZ38)</f>
        <v>0</v>
      </c>
    </row>
    <row r="39" spans="1:79" ht="15" x14ac:dyDescent="0.25">
      <c r="A39" s="24" t="s">
        <v>160</v>
      </c>
      <c r="B39" s="24"/>
      <c r="C39" s="399" t="s">
        <v>225</v>
      </c>
      <c r="D39" s="65">
        <v>50</v>
      </c>
      <c r="E39" s="66"/>
      <c r="F39" s="404"/>
      <c r="G39" s="404"/>
      <c r="H39" s="404"/>
      <c r="I39" s="404"/>
      <c r="J39" s="151">
        <f>SUM(F39:I39)</f>
        <v>0</v>
      </c>
      <c r="K39" s="22">
        <f>SUM(AL39:AO39)</f>
        <v>0</v>
      </c>
      <c r="L39" s="22">
        <f>IFERROR(SUM(AQ39:AT39),0)</f>
        <v>0</v>
      </c>
      <c r="M39" s="22">
        <f>SUM(K39:L39)</f>
        <v>0</v>
      </c>
      <c r="Z39" s="21">
        <f>D39</f>
        <v>50</v>
      </c>
      <c r="AA39" s="21">
        <f>IF(Budsjett!D39&gt;0,LOOKUP(Budsjett!D39,Tabeller!$C$4:$D$200),LOOKUP(Z39,Tabeller!$A$4:$B$200))</f>
        <v>226.66666666666666</v>
      </c>
      <c r="AB39" s="21">
        <f>AA39*Tabeller!$I$33</f>
        <v>230.06666666666663</v>
      </c>
      <c r="AC39" s="21">
        <f>AA39</f>
        <v>226.66666666666666</v>
      </c>
      <c r="AD39" s="21">
        <f>AB39*Tabeller!$L$24</f>
        <v>24.929309955842516</v>
      </c>
      <c r="AE39" s="21">
        <f>AB39*Tabeller!$L$26</f>
        <v>37.117249593253916</v>
      </c>
      <c r="AF39" s="21"/>
      <c r="AG39" s="21">
        <f>SUM(AC39:AF39)</f>
        <v>288.71322621576309</v>
      </c>
      <c r="AH39" s="21">
        <f>AG39+(Registrering!$E$27)</f>
        <v>422568.71322621574</v>
      </c>
      <c r="AL39" s="21">
        <f>((F39*Budsjett!$AG39)*(Tabeller!I$33))</f>
        <v>0</v>
      </c>
      <c r="AM39" s="21">
        <f>((G39*Budsjett!$AG39)*(Tabeller!J$33))</f>
        <v>0</v>
      </c>
      <c r="AN39" s="21">
        <f>((H39*Budsjett!$AG39)*(Tabeller!K$33))</f>
        <v>0</v>
      </c>
      <c r="AO39" s="21">
        <f>((I39*Budsjett!$AG39)*(Tabeller!L$33))</f>
        <v>0</v>
      </c>
      <c r="AQ39" s="21">
        <f>IFERROR(AL39*Budsjett!$G$61,0)</f>
        <v>0</v>
      </c>
      <c r="AR39" s="21">
        <f>IFERROR(AM39*Budsjett!$G$61,0)</f>
        <v>0</v>
      </c>
      <c r="AS39" s="21">
        <f>IFERROR(AN39*Budsjett!$G$61,0)</f>
        <v>0</v>
      </c>
      <c r="AT39" s="21">
        <f>IFERROR(AO39*Budsjett!$G$61,0)</f>
        <v>0</v>
      </c>
      <c r="AW39" s="21">
        <f>IFERROR(AL39*Budsjett!AW$62,0)</f>
        <v>0</v>
      </c>
      <c r="AX39" s="21">
        <f>IFERROR(AM39*Budsjett!AX$62,0)</f>
        <v>0</v>
      </c>
      <c r="AY39" s="21">
        <f>IFERROR(AN39*Budsjett!AY$62,0)</f>
        <v>0</v>
      </c>
      <c r="AZ39" s="21">
        <f>IFERROR(AO39*Budsjett!AZ$62,0)</f>
        <v>0</v>
      </c>
      <c r="BC39" s="21">
        <f t="shared" si="42"/>
        <v>0</v>
      </c>
      <c r="BD39" s="21">
        <f t="shared" si="42"/>
        <v>0</v>
      </c>
      <c r="BE39" s="21">
        <f t="shared" si="42"/>
        <v>0</v>
      </c>
      <c r="BF39" s="21">
        <f t="shared" si="42"/>
        <v>0</v>
      </c>
      <c r="BO39" s="124" t="str">
        <f t="shared" si="7"/>
        <v>Timebasert lønn</v>
      </c>
      <c r="BP39" s="21">
        <f t="shared" si="43"/>
        <v>0</v>
      </c>
      <c r="BQ39" s="21">
        <f t="shared" si="43"/>
        <v>0</v>
      </c>
      <c r="BR39" s="21">
        <f t="shared" si="43"/>
        <v>0</v>
      </c>
      <c r="BS39" s="21">
        <f t="shared" si="43"/>
        <v>0</v>
      </c>
      <c r="BT39" s="25">
        <f>SUM(BP39:BS39)</f>
        <v>0</v>
      </c>
      <c r="BV39" s="124" t="str">
        <f t="shared" si="10"/>
        <v>Timebasert lønn</v>
      </c>
      <c r="BW39" s="21"/>
      <c r="BX39" s="21"/>
      <c r="BY39" s="21"/>
      <c r="BZ39" s="21"/>
      <c r="CA39" s="25">
        <f>SUM(BW39:BZ39)</f>
        <v>0</v>
      </c>
    </row>
    <row r="40" spans="1:79" ht="15" x14ac:dyDescent="0.25">
      <c r="A40" s="24" t="s">
        <v>160</v>
      </c>
      <c r="B40" s="24"/>
      <c r="C40" s="399" t="s">
        <v>225</v>
      </c>
      <c r="D40" s="65">
        <v>50</v>
      </c>
      <c r="E40" s="66"/>
      <c r="F40" s="404"/>
      <c r="G40" s="404"/>
      <c r="H40" s="404"/>
      <c r="I40" s="404"/>
      <c r="J40" s="151">
        <f>SUM(F40:I40)</f>
        <v>0</v>
      </c>
      <c r="K40" s="22">
        <f>SUM(AL40:AO40)</f>
        <v>0</v>
      </c>
      <c r="L40" s="22">
        <f>IFERROR(SUM(AQ40:AT40),0)</f>
        <v>0</v>
      </c>
      <c r="M40" s="22">
        <f>SUM(K40:L40)</f>
        <v>0</v>
      </c>
      <c r="Z40" s="21">
        <f>D40</f>
        <v>50</v>
      </c>
      <c r="AA40" s="21">
        <f>IF(Budsjett!D40&gt;0,LOOKUP(Budsjett!D40,Tabeller!$C$4:$D$200),LOOKUP(Z40,Tabeller!$A$4:$B$200))</f>
        <v>226.66666666666666</v>
      </c>
      <c r="AB40" s="21">
        <f>AA40*Tabeller!$I$33</f>
        <v>230.06666666666663</v>
      </c>
      <c r="AC40" s="21">
        <f>AA40</f>
        <v>226.66666666666666</v>
      </c>
      <c r="AD40" s="21">
        <f>AB40*Tabeller!$L$24</f>
        <v>24.929309955842516</v>
      </c>
      <c r="AE40" s="21">
        <f>AB40*Tabeller!$L$26</f>
        <v>37.117249593253916</v>
      </c>
      <c r="AF40" s="21"/>
      <c r="AG40" s="21">
        <f>SUM(AC40:AF40)</f>
        <v>288.71322621576309</v>
      </c>
      <c r="AH40" s="21">
        <f>AG40+(Registrering!$E$27)</f>
        <v>422568.71322621574</v>
      </c>
      <c r="AL40" s="21">
        <f>((F40*Budsjett!$AG40)*(Tabeller!I$33))</f>
        <v>0</v>
      </c>
      <c r="AM40" s="21">
        <f>((G40*Budsjett!$AG40)*(Tabeller!J$33))</f>
        <v>0</v>
      </c>
      <c r="AN40" s="21">
        <f>((H40*Budsjett!$AG40)*(Tabeller!K$33))</f>
        <v>0</v>
      </c>
      <c r="AO40" s="21">
        <f>((I40*Budsjett!$AG40)*(Tabeller!L$33))</f>
        <v>0</v>
      </c>
      <c r="AQ40" s="21">
        <f>IFERROR(AL40*Budsjett!$G$61,0)</f>
        <v>0</v>
      </c>
      <c r="AR40" s="21">
        <f>IFERROR(AM40*Budsjett!$G$61,0)</f>
        <v>0</v>
      </c>
      <c r="AS40" s="21">
        <f>IFERROR(AN40*Budsjett!$G$61,0)</f>
        <v>0</v>
      </c>
      <c r="AT40" s="21">
        <f>IFERROR(AO40*Budsjett!$G$61,0)</f>
        <v>0</v>
      </c>
      <c r="AW40" s="21">
        <f>IFERROR(AL40*Budsjett!AW$62,0)</f>
        <v>0</v>
      </c>
      <c r="AX40" s="21">
        <f>IFERROR(AM40*Budsjett!AX$62,0)</f>
        <v>0</v>
      </c>
      <c r="AY40" s="21">
        <f>IFERROR(AN40*Budsjett!AY$62,0)</f>
        <v>0</v>
      </c>
      <c r="AZ40" s="21">
        <f>IFERROR(AO40*Budsjett!AZ$62,0)</f>
        <v>0</v>
      </c>
      <c r="BC40" s="21">
        <f t="shared" si="42"/>
        <v>0</v>
      </c>
      <c r="BD40" s="21">
        <f t="shared" si="42"/>
        <v>0</v>
      </c>
      <c r="BE40" s="21">
        <f t="shared" si="42"/>
        <v>0</v>
      </c>
      <c r="BF40" s="21">
        <f t="shared" si="42"/>
        <v>0</v>
      </c>
      <c r="BO40" s="124" t="str">
        <f t="shared" si="7"/>
        <v>Timebasert lønn</v>
      </c>
      <c r="BP40" s="21">
        <f t="shared" si="43"/>
        <v>0</v>
      </c>
      <c r="BQ40" s="21">
        <f t="shared" si="43"/>
        <v>0</v>
      </c>
      <c r="BR40" s="21">
        <f t="shared" si="43"/>
        <v>0</v>
      </c>
      <c r="BS40" s="21">
        <f t="shared" si="43"/>
        <v>0</v>
      </c>
      <c r="BT40" s="25">
        <f>SUM(BP40:BS40)</f>
        <v>0</v>
      </c>
      <c r="BV40" s="124" t="str">
        <f t="shared" si="10"/>
        <v>Timebasert lønn</v>
      </c>
      <c r="BW40" s="21"/>
      <c r="BX40" s="21"/>
      <c r="BY40" s="21"/>
      <c r="BZ40" s="21"/>
      <c r="CA40" s="25">
        <f>SUM(BW40:BZ40)</f>
        <v>0</v>
      </c>
    </row>
    <row r="41" spans="1:79" ht="15" x14ac:dyDescent="0.25">
      <c r="A41" s="31" t="s">
        <v>0</v>
      </c>
      <c r="B41" s="31"/>
      <c r="C41" s="31"/>
      <c r="D41" s="31"/>
      <c r="E41" s="32"/>
      <c r="F41" s="149">
        <f t="shared" ref="F41:M41" si="44">SUM(F38:F40)</f>
        <v>0</v>
      </c>
      <c r="G41" s="149">
        <f t="shared" si="44"/>
        <v>0</v>
      </c>
      <c r="H41" s="149">
        <f t="shared" si="44"/>
        <v>0</v>
      </c>
      <c r="I41" s="149">
        <f t="shared" si="44"/>
        <v>0</v>
      </c>
      <c r="J41" s="149">
        <f t="shared" si="44"/>
        <v>0</v>
      </c>
      <c r="K41" s="38">
        <f t="shared" si="44"/>
        <v>0</v>
      </c>
      <c r="L41" s="38">
        <f t="shared" si="44"/>
        <v>0</v>
      </c>
      <c r="M41" s="38">
        <f t="shared" si="44"/>
        <v>0</v>
      </c>
      <c r="AL41" s="25">
        <f>SUM(AL38:AL40)</f>
        <v>0</v>
      </c>
      <c r="AM41" s="25">
        <f>SUM(AM38:AM40)</f>
        <v>0</v>
      </c>
      <c r="AN41" s="25">
        <f>SUM(AN38:AN40)</f>
        <v>0</v>
      </c>
      <c r="AO41" s="25">
        <f>SUM(AO38:AO40)</f>
        <v>0</v>
      </c>
      <c r="AP41" s="62">
        <f>SUM(AL41:AO41)</f>
        <v>0</v>
      </c>
      <c r="AQ41" s="25">
        <f>SUM(AQ38:AQ40)</f>
        <v>0</v>
      </c>
      <c r="AR41" s="25">
        <f>SUM(AR38:AR40)</f>
        <v>0</v>
      </c>
      <c r="AS41" s="25">
        <f>SUM(AS38:AS40)</f>
        <v>0</v>
      </c>
      <c r="AT41" s="25">
        <f>SUM(AT38:AT40)</f>
        <v>0</v>
      </c>
      <c r="AU41" s="62">
        <f>SUM(AQ41:AT41)</f>
        <v>0</v>
      </c>
      <c r="AW41" s="25">
        <f>SUM(AW38:AW40)</f>
        <v>0</v>
      </c>
      <c r="AX41" s="25">
        <f>SUM(AX38:AX40)</f>
        <v>0</v>
      </c>
      <c r="AY41" s="25">
        <f>SUM(AY38:AY40)</f>
        <v>0</v>
      </c>
      <c r="AZ41" s="25">
        <f>SUM(AZ38:AZ40)</f>
        <v>0</v>
      </c>
      <c r="BA41" s="62"/>
      <c r="BB41" s="62"/>
      <c r="BC41" s="25">
        <f>SUM(BC38:BC40)</f>
        <v>0</v>
      </c>
      <c r="BD41" s="25">
        <f>SUM(BD38:BD40)</f>
        <v>0</v>
      </c>
      <c r="BE41" s="25">
        <f>SUM(BE38:BE40)</f>
        <v>0</v>
      </c>
      <c r="BF41" s="25">
        <f>SUM(BF38:BF40)</f>
        <v>0</v>
      </c>
      <c r="BG41" s="62"/>
      <c r="BO41" s="124" t="str">
        <f t="shared" si="7"/>
        <v>Sum</v>
      </c>
      <c r="BP41" s="25">
        <f>SUM(BP38:BP40)</f>
        <v>0</v>
      </c>
      <c r="BQ41" s="25">
        <f>SUM(BQ38:BQ40)</f>
        <v>0</v>
      </c>
      <c r="BR41" s="25">
        <f>SUM(BR38:BR40)</f>
        <v>0</v>
      </c>
      <c r="BS41" s="25">
        <f>SUM(BS38:BS40)</f>
        <v>0</v>
      </c>
      <c r="BT41" s="25">
        <f>SUM(BT38:BT40)</f>
        <v>0</v>
      </c>
      <c r="BV41" s="124" t="str">
        <f t="shared" si="10"/>
        <v>Sum</v>
      </c>
      <c r="BW41" s="25">
        <f>SUM(BW38:BW40)</f>
        <v>0</v>
      </c>
      <c r="BX41" s="25">
        <f>SUM(BX38:BX40)</f>
        <v>0</v>
      </c>
      <c r="BY41" s="25">
        <f>SUM(BY38:BY40)</f>
        <v>0</v>
      </c>
      <c r="BZ41" s="25">
        <f>SUM(BZ38:BZ40)</f>
        <v>0</v>
      </c>
      <c r="CA41" s="25">
        <f>SUM(CA38:CA40)</f>
        <v>0</v>
      </c>
    </row>
    <row r="42" spans="1:79" ht="15" x14ac:dyDescent="0.25">
      <c r="A42" s="31" t="s">
        <v>162</v>
      </c>
      <c r="B42" s="31"/>
      <c r="C42" s="31"/>
      <c r="D42" s="31"/>
      <c r="E42" s="32"/>
      <c r="F42" s="149">
        <f>F12+F35+F20+F41/Tabeller!$H$3</f>
        <v>0</v>
      </c>
      <c r="G42" s="149">
        <f>G12+G35+G20+G41/Tabeller!$H$3</f>
        <v>0</v>
      </c>
      <c r="H42" s="149">
        <f>H12+H35+H20+H41/Tabeller!$H$3</f>
        <v>0</v>
      </c>
      <c r="I42" s="149">
        <f>I12+I35+I20+I41/Tabeller!$H$3</f>
        <v>0</v>
      </c>
      <c r="J42" s="149">
        <f>J12+J35+J20+J41/Tabeller!$H$3</f>
        <v>0</v>
      </c>
      <c r="K42" s="38">
        <f>K35+K20+K12+K41</f>
        <v>0</v>
      </c>
      <c r="L42" s="38">
        <f>L35+L20+L12+L41</f>
        <v>0</v>
      </c>
      <c r="M42" s="38">
        <f>M35+M20+M12</f>
        <v>0</v>
      </c>
      <c r="AL42" s="25">
        <f>AL35+AL20+AL12+AL41</f>
        <v>0</v>
      </c>
      <c r="AM42" s="25">
        <f>AM35+AM20+AM12+AM41</f>
        <v>0</v>
      </c>
      <c r="AN42" s="25">
        <f>AN35+AN20+AN12+AN41</f>
        <v>0</v>
      </c>
      <c r="AO42" s="25">
        <f>AO35+AO20+AO12+AO41</f>
        <v>0</v>
      </c>
      <c r="AP42" s="62">
        <f>SUM(AL42:AO42)</f>
        <v>0</v>
      </c>
      <c r="AQ42" s="25">
        <f>AQ35+AQ20+AQ12+AQ41</f>
        <v>0</v>
      </c>
      <c r="AR42" s="25">
        <f>AR35+AR20+AR12+AR41</f>
        <v>0</v>
      </c>
      <c r="AS42" s="25">
        <f>AS35+AS20+AS12+AS41</f>
        <v>0</v>
      </c>
      <c r="AT42" s="25">
        <f>AT35+AT20+AT12+AT41</f>
        <v>0</v>
      </c>
      <c r="AU42" s="67">
        <f>SUM(AQ42:AT42)</f>
        <v>0</v>
      </c>
      <c r="AV42" s="88"/>
      <c r="AW42" s="25">
        <f>AW35+AW20+AW12+AW41</f>
        <v>0</v>
      </c>
      <c r="AX42" s="25">
        <f>AX35+AX20+AX12+AX41</f>
        <v>0</v>
      </c>
      <c r="AY42" s="25">
        <f>AY35+AY20+AY12+AY41</f>
        <v>0</v>
      </c>
      <c r="AZ42" s="25">
        <f>AZ35+AZ20+AZ12+AZ41</f>
        <v>0</v>
      </c>
      <c r="BA42" s="62">
        <f>SUM(AW42:AZ42)</f>
        <v>0</v>
      </c>
      <c r="BB42" s="62"/>
      <c r="BC42" s="25">
        <f>BC35+BC20+BC12+BC41</f>
        <v>0</v>
      </c>
      <c r="BD42" s="25">
        <f>BD35+BD20+BD12+BD41</f>
        <v>0</v>
      </c>
      <c r="BE42" s="25">
        <f>BE35+BE20+BE12+BE41</f>
        <v>0</v>
      </c>
      <c r="BF42" s="25">
        <f>BF35+BF20+BF12+BF41</f>
        <v>0</v>
      </c>
      <c r="BG42" s="62"/>
      <c r="BO42" s="124" t="str">
        <f t="shared" si="7"/>
        <v>Total arbeidsinnsats for prosjektet (årsverk)</v>
      </c>
      <c r="BP42" s="25">
        <f>BP35+BP20+BP12+BP41</f>
        <v>0</v>
      </c>
      <c r="BQ42" s="25">
        <f>BQ35+BQ20+BQ12+BQ41</f>
        <v>0</v>
      </c>
      <c r="BR42" s="25">
        <f>BR35+BR20+BR12+BR41</f>
        <v>0</v>
      </c>
      <c r="BS42" s="25">
        <f>BS35+BS20+BS12+BS41</f>
        <v>0</v>
      </c>
      <c r="BT42" s="25">
        <f>BT35+BT20+BT12+BT41</f>
        <v>0</v>
      </c>
      <c r="BV42" s="124" t="str">
        <f t="shared" si="10"/>
        <v>Total arbeidsinnsats for prosjektet (årsverk)</v>
      </c>
      <c r="BW42" s="25">
        <f>BW35+BW20+BW12+BW41</f>
        <v>0</v>
      </c>
      <c r="BX42" s="25">
        <f>BX35+BX20+BX12+BX41</f>
        <v>0</v>
      </c>
      <c r="BY42" s="25">
        <f>BY35+BY20+BY12+BY41</f>
        <v>0</v>
      </c>
      <c r="BZ42" s="25">
        <f>BZ35+BZ20+BZ12+BZ41</f>
        <v>0</v>
      </c>
      <c r="CA42" s="25">
        <f>CA35+CA20+CA12+CA41</f>
        <v>0</v>
      </c>
    </row>
    <row r="43" spans="1:79" ht="21" x14ac:dyDescent="0.35">
      <c r="A43" s="55" t="s">
        <v>177</v>
      </c>
      <c r="B43" s="55"/>
      <c r="C43" s="49"/>
      <c r="D43" s="49"/>
      <c r="E43" s="49"/>
      <c r="F43" s="61" t="s">
        <v>66</v>
      </c>
      <c r="BD43" s="62"/>
      <c r="BO43" s="124" t="str">
        <f t="shared" ref="BO43:BO50" si="45">A43</f>
        <v>Direkte driftsmidler</v>
      </c>
      <c r="BV43" s="124" t="str">
        <f t="shared" ref="BV43:BV50" si="46">A43</f>
        <v>Direkte driftsmidler</v>
      </c>
    </row>
    <row r="44" spans="1:79" ht="15" x14ac:dyDescent="0.25">
      <c r="A44" s="125"/>
      <c r="B44" s="125"/>
      <c r="C44" s="125"/>
      <c r="D44" s="125"/>
      <c r="E44" s="125" t="s">
        <v>32</v>
      </c>
      <c r="F44" s="126" t="str">
        <f>F3</f>
        <v>Periode 1 (1-18 month)</v>
      </c>
      <c r="G44" s="126" t="str">
        <f>G3</f>
        <v>Periode 2 (19-36 month)</v>
      </c>
      <c r="H44" s="126" t="str">
        <f>H3</f>
        <v>Periode 3 (37-54 month)</v>
      </c>
      <c r="I44" s="126" t="str">
        <f>I3</f>
        <v>Periode 4 (55-60 (72) month)</v>
      </c>
      <c r="J44" s="127"/>
      <c r="K44" s="127"/>
      <c r="L44" s="127"/>
      <c r="M44" s="127" t="s">
        <v>61</v>
      </c>
      <c r="AL44" s="25" t="str">
        <f t="shared" ref="AL44:AL50" si="47">F44</f>
        <v>Periode 1 (1-18 month)</v>
      </c>
      <c r="AM44" s="25" t="str">
        <f t="shared" ref="AM44:AM49" si="48">G44</f>
        <v>Periode 2 (19-36 month)</v>
      </c>
      <c r="AN44" s="25" t="str">
        <f t="shared" ref="AN44:AN49" si="49">H44</f>
        <v>Periode 3 (37-54 month)</v>
      </c>
      <c r="AO44" s="25" t="str">
        <f t="shared" ref="AO44:AO49" si="50">I44</f>
        <v>Periode 4 (55-60 (72) month)</v>
      </c>
      <c r="BD44" s="62"/>
      <c r="BM44" s="45">
        <f>BT42/'Budget for the contract'!B3</f>
        <v>0</v>
      </c>
      <c r="BO44" s="124">
        <f t="shared" si="45"/>
        <v>0</v>
      </c>
      <c r="BP44" s="25" t="str">
        <f>BP3</f>
        <v>Periode 1 (1-18 month)</v>
      </c>
      <c r="BQ44" s="25" t="str">
        <f>BQ3</f>
        <v>Periode 2 (19-36 month)</v>
      </c>
      <c r="BR44" s="25" t="str">
        <f>BR3</f>
        <v>Periode 3 (37-54 month)</v>
      </c>
      <c r="BS44" s="25" t="str">
        <f>BS3</f>
        <v>Periode 4 (55-60 (72) month)</v>
      </c>
      <c r="BT44" s="25" t="str">
        <f>BT3</f>
        <v>Sum årsv</v>
      </c>
      <c r="BV44" s="124">
        <f t="shared" si="46"/>
        <v>0</v>
      </c>
      <c r="BW44" s="25" t="str">
        <f>BW37</f>
        <v>Periode 1 (1-18 month)</v>
      </c>
      <c r="BX44" s="25" t="str">
        <f>BX37</f>
        <v>Periode 2 (19-36 month)</v>
      </c>
      <c r="BY44" s="25" t="str">
        <f>BY37</f>
        <v>Periode 3 (37-54 month)</v>
      </c>
      <c r="BZ44" s="25" t="str">
        <f>BZ37</f>
        <v>Periode 4 (55-60 (72) month)</v>
      </c>
      <c r="CA44" s="25" t="str">
        <f>CA37</f>
        <v>Sum årsv</v>
      </c>
    </row>
    <row r="45" spans="1:79" ht="15" x14ac:dyDescent="0.25">
      <c r="A45" s="398" t="s">
        <v>119</v>
      </c>
      <c r="B45" s="24"/>
      <c r="C45" s="212" t="s">
        <v>225</v>
      </c>
      <c r="D45" s="26"/>
      <c r="E45" s="389"/>
      <c r="F45" s="405"/>
      <c r="G45" s="405"/>
      <c r="H45" s="405"/>
      <c r="I45" s="405"/>
      <c r="J45" s="40"/>
      <c r="K45" s="40"/>
      <c r="L45" s="40"/>
      <c r="M45" s="22">
        <f t="shared" ref="M45:M53" si="51">SUM(F45:I45)</f>
        <v>0</v>
      </c>
      <c r="AL45" s="256">
        <f t="shared" si="47"/>
        <v>0</v>
      </c>
      <c r="AM45" s="21">
        <f t="shared" si="48"/>
        <v>0</v>
      </c>
      <c r="AN45" s="21">
        <f t="shared" si="49"/>
        <v>0</v>
      </c>
      <c r="AO45" s="21">
        <f t="shared" si="50"/>
        <v>0</v>
      </c>
      <c r="AP45" s="62">
        <f t="shared" ref="AP45:AP54" si="52">SUM(AL45:AO45)</f>
        <v>0</v>
      </c>
      <c r="AQ45" s="516"/>
      <c r="BD45" s="62"/>
      <c r="BO45" s="124" t="str">
        <f t="shared" si="45"/>
        <v>Lab./feltundersøkelser</v>
      </c>
      <c r="BP45" s="247">
        <f t="shared" ref="BP45:BS50" si="53">IF($C45=$BO$1,AL45,0)</f>
        <v>0</v>
      </c>
      <c r="BQ45" s="21">
        <f t="shared" si="53"/>
        <v>0</v>
      </c>
      <c r="BR45" s="21">
        <f t="shared" si="53"/>
        <v>0</v>
      </c>
      <c r="BS45" s="21">
        <f t="shared" si="53"/>
        <v>0</v>
      </c>
      <c r="BT45" s="199">
        <f t="shared" ref="BT45:BT54" si="54">SUM(BP45:BS45)</f>
        <v>0</v>
      </c>
      <c r="BV45" s="124" t="str">
        <f t="shared" si="46"/>
        <v>Lab./feltundersøkelser</v>
      </c>
      <c r="BW45" s="21">
        <f t="shared" ref="BW45:BW50" si="55">IF($C45=$BV$1,AL45,0)</f>
        <v>0</v>
      </c>
      <c r="BX45" s="21">
        <f t="shared" ref="BX45:BZ47" si="56">IF($C45=$BV$1,-AM45,0)</f>
        <v>0</v>
      </c>
      <c r="BY45" s="21">
        <f t="shared" si="56"/>
        <v>0</v>
      </c>
      <c r="BZ45" s="21">
        <f t="shared" si="56"/>
        <v>0</v>
      </c>
      <c r="CA45" s="62">
        <f t="shared" ref="CA45:CA54" si="57">SUM(BW45:BZ45)</f>
        <v>0</v>
      </c>
    </row>
    <row r="46" spans="1:79" ht="15" x14ac:dyDescent="0.25">
      <c r="A46" s="398" t="s">
        <v>3</v>
      </c>
      <c r="B46" s="24"/>
      <c r="C46" s="212" t="s">
        <v>225</v>
      </c>
      <c r="D46" s="27"/>
      <c r="E46" s="389"/>
      <c r="F46" s="405"/>
      <c r="G46" s="405"/>
      <c r="H46" s="405"/>
      <c r="I46" s="405"/>
      <c r="J46" s="40"/>
      <c r="K46" s="40"/>
      <c r="L46" s="40"/>
      <c r="M46" s="22">
        <f t="shared" si="51"/>
        <v>0</v>
      </c>
      <c r="AD46" s="45">
        <f>AA4*1.045</f>
        <v>910090.49999999988</v>
      </c>
      <c r="AL46" s="256">
        <f t="shared" si="47"/>
        <v>0</v>
      </c>
      <c r="AM46" s="21">
        <f t="shared" si="48"/>
        <v>0</v>
      </c>
      <c r="AN46" s="21">
        <f t="shared" si="49"/>
        <v>0</v>
      </c>
      <c r="AO46" s="21">
        <f t="shared" si="50"/>
        <v>0</v>
      </c>
      <c r="AP46" s="62">
        <f t="shared" si="52"/>
        <v>0</v>
      </c>
      <c r="BD46" s="62"/>
      <c r="BO46" s="124" t="str">
        <f t="shared" si="45"/>
        <v>Reiser/konferanser/mv.</v>
      </c>
      <c r="BP46" s="247">
        <f t="shared" si="53"/>
        <v>0</v>
      </c>
      <c r="BQ46" s="21">
        <f t="shared" si="53"/>
        <v>0</v>
      </c>
      <c r="BR46" s="21">
        <f t="shared" si="53"/>
        <v>0</v>
      </c>
      <c r="BS46" s="21">
        <f t="shared" si="53"/>
        <v>0</v>
      </c>
      <c r="BT46" s="199">
        <f t="shared" si="54"/>
        <v>0</v>
      </c>
      <c r="BV46" s="124" t="str">
        <f t="shared" si="46"/>
        <v>Reiser/konferanser/mv.</v>
      </c>
      <c r="BW46" s="21">
        <f t="shared" si="55"/>
        <v>0</v>
      </c>
      <c r="BX46" s="21">
        <f t="shared" si="56"/>
        <v>0</v>
      </c>
      <c r="BY46" s="21">
        <f t="shared" si="56"/>
        <v>0</v>
      </c>
      <c r="BZ46" s="21">
        <f t="shared" si="56"/>
        <v>0</v>
      </c>
      <c r="CA46" s="62">
        <f t="shared" si="57"/>
        <v>0</v>
      </c>
    </row>
    <row r="47" spans="1:79" ht="15" x14ac:dyDescent="0.25">
      <c r="A47" s="398" t="s">
        <v>4</v>
      </c>
      <c r="B47" s="24"/>
      <c r="C47" s="212" t="s">
        <v>225</v>
      </c>
      <c r="D47" s="27"/>
      <c r="E47" s="389"/>
      <c r="F47" s="405"/>
      <c r="G47" s="405"/>
      <c r="H47" s="405"/>
      <c r="I47" s="405"/>
      <c r="J47" s="40"/>
      <c r="K47" s="40"/>
      <c r="L47" s="40"/>
      <c r="M47" s="22">
        <f t="shared" si="51"/>
        <v>0</v>
      </c>
      <c r="AL47" s="256">
        <f t="shared" si="47"/>
        <v>0</v>
      </c>
      <c r="AM47" s="21">
        <f t="shared" si="48"/>
        <v>0</v>
      </c>
      <c r="AN47" s="21">
        <f t="shared" si="49"/>
        <v>0</v>
      </c>
      <c r="AO47" s="21">
        <f t="shared" si="50"/>
        <v>0</v>
      </c>
      <c r="AP47" s="62">
        <f t="shared" si="52"/>
        <v>0</v>
      </c>
      <c r="BD47" s="62"/>
      <c r="BO47" s="124" t="str">
        <f t="shared" si="45"/>
        <v>Andre driftskostnader</v>
      </c>
      <c r="BP47" s="247">
        <f t="shared" si="53"/>
        <v>0</v>
      </c>
      <c r="BQ47" s="21">
        <f t="shared" si="53"/>
        <v>0</v>
      </c>
      <c r="BR47" s="21">
        <f t="shared" si="53"/>
        <v>0</v>
      </c>
      <c r="BS47" s="21">
        <f t="shared" si="53"/>
        <v>0</v>
      </c>
      <c r="BT47" s="199">
        <f t="shared" si="54"/>
        <v>0</v>
      </c>
      <c r="BV47" s="124" t="str">
        <f t="shared" si="46"/>
        <v>Andre driftskostnader</v>
      </c>
      <c r="BW47" s="21">
        <f t="shared" si="55"/>
        <v>0</v>
      </c>
      <c r="BX47" s="21">
        <f t="shared" si="56"/>
        <v>0</v>
      </c>
      <c r="BY47" s="21">
        <f t="shared" si="56"/>
        <v>0</v>
      </c>
      <c r="BZ47" s="21">
        <f t="shared" si="56"/>
        <v>0</v>
      </c>
      <c r="CA47" s="62">
        <f t="shared" si="57"/>
        <v>0</v>
      </c>
    </row>
    <row r="48" spans="1:79" ht="15" x14ac:dyDescent="0.25">
      <c r="A48" s="146" t="s">
        <v>230</v>
      </c>
      <c r="B48" s="24"/>
      <c r="C48" s="196" t="s">
        <v>6</v>
      </c>
      <c r="D48" s="27"/>
      <c r="E48" s="344"/>
      <c r="F48" s="113">
        <f>IF(Leiested!$B$7="Egenandel",Leiested!E7,0)+IF(Leiested!$B$11="Egenandel",Leiested!E11,0)+IF(Leiested!$B$15="Egenandel",Leiested!E15,0)+IF(Leiested!$B$19="Egenandel",Leiested!E19,0)+IF(Leiested!$B$23="Egenandel",Leiested!E23,0)+IF(Leiested!$B$27="Egenandel",Leiested!E27,0)+IF(Leiested!$B$31="Egenandel",Leiested!E31,0)+IF(Leiested!$B$35="Egenandel",Leiested!E35,0)+IF(Leiested!$B$39="Egenandel",Leiested!E39,0)+IF(Leiested!$B$43="Egenandel",Leiested!E43,0)+IF(Leiested!$B$47="Egenandel",Leiested!E47,0)+IF(Leiested!$B$51="Egenandel",Leiested!E51,0)+IF(Leiested!$B$55="Egenandel",Leiested!E55,0)+IF(Leiested!$B$59="Egenandel",Leiested!E59,0)+IF(Leiested!$B$63="Egenandel",Leiested!E63,0)</f>
        <v>0</v>
      </c>
      <c r="G48" s="113">
        <f>IF(Leiested!$B$7="Egenandel",Leiested!F7,0)+IF(Leiested!$B$11="Egenandel",Leiested!F11,0)+IF(Leiested!$B$15="Egenandel",Leiested!F15,0)+IF(Leiested!$B$19="Egenandel",Leiested!F19,0)+IF(Leiested!$B$23="Egenandel",Leiested!F23,0)+IF(Leiested!$B$27="Egenandel",Leiested!F27,0)+IF(Leiested!$B$31="Egenandel",Leiested!F31,0)+IF(Leiested!$B$35="Egenandel",Leiested!F35,0)+IF(Leiested!$B$39="Egenandel",Leiested!F39,0)+IF(Leiested!$B$43="Egenandel",Leiested!F43,0)+IF(Leiested!$B$47="Egenandel",Leiested!F47,0)+IF(Leiested!$B$51="Egenandel",Leiested!F51,0)+IF(Leiested!$B$55="Egenandel",Leiested!F55,0)+IF(Leiested!$B$59="Egenandel",Leiested!F59,0)+IF(Leiested!$B$63="Egenandel",Leiested!F63,0)</f>
        <v>0</v>
      </c>
      <c r="H48" s="113">
        <f>IF(Leiested!$B$7="Egenandel",Leiested!G7,0)+IF(Leiested!$B$11="Egenandel",Leiested!G11,0)+IF(Leiested!$B$15="Egenandel",Leiested!G15,0)+IF(Leiested!$B$19="Egenandel",Leiested!G19,0)+IF(Leiested!$B$23="Egenandel",Leiested!G23,0)+IF(Leiested!$B$27="Egenandel",Leiested!G27,0)+IF(Leiested!$B$31="Egenandel",Leiested!G31,0)+IF(Leiested!$B$35="Egenandel",Leiested!G35,0)+IF(Leiested!$B$39="Egenandel",Leiested!G39,0)+IF(Leiested!$B$43="Egenandel",Leiested!G43,0)+IF(Leiested!$B$47="Egenandel",Leiested!G47,0)+IF(Leiested!$B$51="Egenandel",Leiested!G51,0)+IF(Leiested!$B$55="Egenandel",Leiested!G55,0)+IF(Leiested!$B$59="Egenandel",Leiested!G59,0)+IF(Leiested!$B$63="Egenandel",Leiested!G63,0)</f>
        <v>0</v>
      </c>
      <c r="I48" s="113">
        <f>IF(Leiested!$B$7="Egenandel",Leiested!H7,0)+IF(Leiested!$B$11="Egenandel",Leiested!H11,0)+IF(Leiested!$B$15="Egenandel",Leiested!H15,0)+IF(Leiested!$B$19="Egenandel",Leiested!H19,0)+IF(Leiested!$B$23="Egenandel",Leiested!H23,0)+IF(Leiested!$B$27="Egenandel",Leiested!H27,0)+IF(Leiested!$B$31="Egenandel",Leiested!H31,0)+IF(Leiested!$B$35="Egenandel",Leiested!H35,0)+IF(Leiested!$B$39="Egenandel",Leiested!H39,0)+IF(Leiested!$B$43="Egenandel",Leiested!H43,0)+IF(Leiested!$B$47="Egenandel",Leiested!H47,0)+IF(Leiested!$B$51="Egenandel",Leiested!H51,0)+IF(Leiested!$B$55="Egenandel",Leiested!H55,0)+IF(Leiested!$B$59="Egenandel",Leiested!H59,0)+IF(Leiested!$B$63="Egenandel",Leiested!H63,0)</f>
        <v>0</v>
      </c>
      <c r="J48" s="113"/>
      <c r="K48" s="113"/>
      <c r="L48" s="113"/>
      <c r="M48" s="22">
        <f t="shared" si="51"/>
        <v>0</v>
      </c>
      <c r="AL48" s="21">
        <f t="shared" si="47"/>
        <v>0</v>
      </c>
      <c r="AM48" s="21">
        <f t="shared" si="48"/>
        <v>0</v>
      </c>
      <c r="AN48" s="21">
        <f t="shared" si="49"/>
        <v>0</v>
      </c>
      <c r="AO48" s="21">
        <f t="shared" si="50"/>
        <v>0</v>
      </c>
      <c r="AP48" s="62">
        <f t="shared" si="52"/>
        <v>0</v>
      </c>
      <c r="BC48" s="44"/>
      <c r="BD48" s="158"/>
      <c r="BO48" s="124" t="str">
        <f t="shared" si="45"/>
        <v>Leiested - internt finansiert</v>
      </c>
      <c r="BP48" s="21">
        <f t="shared" si="53"/>
        <v>0</v>
      </c>
      <c r="BQ48" s="21">
        <f t="shared" si="53"/>
        <v>0</v>
      </c>
      <c r="BR48" s="21">
        <f t="shared" si="53"/>
        <v>0</v>
      </c>
      <c r="BS48" s="21">
        <f t="shared" si="53"/>
        <v>0</v>
      </c>
      <c r="BT48" s="199">
        <f t="shared" si="54"/>
        <v>0</v>
      </c>
      <c r="BV48" s="124" t="str">
        <f t="shared" si="46"/>
        <v>Leiested - internt finansiert</v>
      </c>
      <c r="BW48" s="21">
        <f t="shared" si="55"/>
        <v>0</v>
      </c>
      <c r="BX48" s="21">
        <f>IF($C48=$BV$1,AM48,0)</f>
        <v>0</v>
      </c>
      <c r="BY48" s="21">
        <f>IF($C48=$BV$1,AN48,0)</f>
        <v>0</v>
      </c>
      <c r="BZ48" s="21">
        <f>IF($C48=$BV$1,AO48,0)</f>
        <v>0</v>
      </c>
      <c r="CA48" s="62">
        <f t="shared" si="57"/>
        <v>0</v>
      </c>
    </row>
    <row r="49" spans="1:79" ht="15" x14ac:dyDescent="0.25">
      <c r="A49" s="146" t="s">
        <v>231</v>
      </c>
      <c r="B49" s="24"/>
      <c r="C49" s="196" t="s">
        <v>225</v>
      </c>
      <c r="D49" s="27"/>
      <c r="E49" s="345"/>
      <c r="F49" s="113">
        <f>IF(Leiested!$B$7="Egenandel",0,Leiested!E7)+IF(Leiested!$B$11="Egenandel",0,Leiested!E11)+IF(Leiested!$B$15="Egenandel",0,Leiested!E15)+IF(Leiested!$B$19="Egenandel",0,Leiested!E19)+IF(Leiested!$B$23="Egenandel",0,Leiested!E23)+IF(Leiested!$B$27="Egenandel",0,Leiested!E27)+IF(Leiested!$B$31="Egenandel",0,Leiested!E31)+IF(Leiested!$B$35="Egenandel",0,Leiested!E35)+IF(Leiested!$B$39="Egenandel",0,Leiested!E39)+IF(Leiested!$B$43="Egenandel",0,Leiested!E43)+IF(Leiested!$B$47="Egenandel",0,Leiested!E47)+IF(Leiested!$B$51="Egenandel",0,Leiested!E51)+IF(Leiested!$B$55="Egenandel",0,Leiested!E55)+IF(Leiested!$B$59="Egenandel",0,Leiested!E59)+IF(Leiested!$B$63="Egenandel",0,Leiested!E63)</f>
        <v>0</v>
      </c>
      <c r="G49" s="113">
        <f>IF(Leiested!$B$7="Egenandel",0,Leiested!F7)+IF(Leiested!$B$11="Egenandel",0,Leiested!F11)+IF(Leiested!$B$15="Egenandel",0,Leiested!F15)+IF(Leiested!$B$19="Egenandel",0,Leiested!F19)+IF(Leiested!$B$23="Egenandel",0,Leiested!F23)+IF(Leiested!$B$27="Egenandel",0,Leiested!F27)+IF(Leiested!$B$31="Egenandel",0,Leiested!F31)+IF(Leiested!$B$35="Egenandel",0,Leiested!F35)+IF(Leiested!$B$39="Egenandel",0,Leiested!F39)+IF(Leiested!$B$43="Egenandel",0,Leiested!F43)+IF(Leiested!$B$47="Egenandel",0,Leiested!F47)+IF(Leiested!$B$51="Egenandel",0,Leiested!F51)+IF(Leiested!$B$55="Egenandel",0,Leiested!F55)+IF(Leiested!$B$59="Egenandel",0,Leiested!F59)+IF(Leiested!$B$63="Egenandel",0,Leiested!F63)</f>
        <v>0</v>
      </c>
      <c r="H49" s="113">
        <f>IF(Leiested!$B$7="Egenandel",0,Leiested!G7)+IF(Leiested!$B$11="Egenandel",0,Leiested!G11)+IF(Leiested!$B$15="Egenandel",0,Leiested!G15)+IF(Leiested!$B$19="Egenandel",0,Leiested!G19)+IF(Leiested!$B$23="Egenandel",0,Leiested!G23)+IF(Leiested!$B$27="Egenandel",0,Leiested!G27)+IF(Leiested!$B$31="Egenandel",0,Leiested!G31)+IF(Leiested!$B$35="Egenandel",0,Leiested!G35)+IF(Leiested!$B$39="Egenandel",0,Leiested!G39)+IF(Leiested!$B$43="Egenandel",0,Leiested!G43)+IF(Leiested!$B$47="Egenandel",0,Leiested!G47)+IF(Leiested!$B$51="Egenandel",0,Leiested!G51)+IF(Leiested!$B$55="Egenandel",0,Leiested!G55)+IF(Leiested!$B$59="Egenandel",0,Leiested!G59)+IF(Leiested!$B$63="Egenandel",0,Leiested!G63)</f>
        <v>0</v>
      </c>
      <c r="I49" s="113">
        <f>IF(Leiested!$B$7="Egenandel",0,Leiested!H7)+IF(Leiested!$B$11="Egenandel",0,Leiested!H11)+IF(Leiested!$B$15="Egenandel",0,Leiested!H15)+IF(Leiested!$B$19="Egenandel",0,Leiested!H19)+IF(Leiested!$B$23="Egenandel",0,Leiested!H23)+IF(Leiested!$B$27="Egenandel",0,Leiested!H27)+IF(Leiested!$B$31="Egenandel",0,Leiested!H31)+IF(Leiested!$B$35="Egenandel",0,Leiested!H35)+IF(Leiested!$B$39="Egenandel",0,Leiested!H39)+IF(Leiested!$B$43="Egenandel",0,Leiested!H43)+IF(Leiested!$B$47="Egenandel",0,Leiested!H47)+IF(Leiested!$B$51="Egenandel",0,Leiested!H51)+IF(Leiested!$B$55="Egenandel",0,Leiested!H55)+IF(Leiested!$B$59="Egenandel",0,Leiested!H59)+IF(Leiested!$B$63="Egenandel",0,Leiested!H63)</f>
        <v>0</v>
      </c>
      <c r="J49" s="113"/>
      <c r="K49" s="113"/>
      <c r="L49" s="113"/>
      <c r="M49" s="22">
        <f t="shared" si="51"/>
        <v>0</v>
      </c>
      <c r="AL49" s="21">
        <f t="shared" si="47"/>
        <v>0</v>
      </c>
      <c r="AM49" s="21">
        <f t="shared" si="48"/>
        <v>0</v>
      </c>
      <c r="AN49" s="21">
        <f t="shared" si="49"/>
        <v>0</v>
      </c>
      <c r="AO49" s="21">
        <f t="shared" si="50"/>
        <v>0</v>
      </c>
      <c r="AP49" s="62">
        <f t="shared" si="52"/>
        <v>0</v>
      </c>
      <c r="BD49" s="62"/>
      <c r="BO49" s="124" t="str">
        <f t="shared" si="45"/>
        <v>Leiested - eksternt finansiert</v>
      </c>
      <c r="BP49" s="247">
        <f t="shared" si="53"/>
        <v>0</v>
      </c>
      <c r="BQ49" s="21">
        <f t="shared" si="53"/>
        <v>0</v>
      </c>
      <c r="BR49" s="21">
        <f t="shared" si="53"/>
        <v>0</v>
      </c>
      <c r="BS49" s="21">
        <f t="shared" si="53"/>
        <v>0</v>
      </c>
      <c r="BT49" s="199">
        <f t="shared" si="54"/>
        <v>0</v>
      </c>
      <c r="BV49" s="124" t="str">
        <f t="shared" si="46"/>
        <v>Leiested - eksternt finansiert</v>
      </c>
      <c r="BW49" s="21">
        <f t="shared" si="55"/>
        <v>0</v>
      </c>
      <c r="BX49" s="21">
        <f t="shared" ref="BX49:BZ50" si="58">IF($C49=$BV$1,-AM49,0)</f>
        <v>0</v>
      </c>
      <c r="BY49" s="21">
        <f t="shared" si="58"/>
        <v>0</v>
      </c>
      <c r="BZ49" s="21">
        <f t="shared" si="58"/>
        <v>0</v>
      </c>
      <c r="CA49" s="62">
        <f t="shared" si="57"/>
        <v>0</v>
      </c>
    </row>
    <row r="50" spans="1:79" ht="15" x14ac:dyDescent="0.25">
      <c r="A50" s="284" t="s">
        <v>316</v>
      </c>
      <c r="B50" s="24"/>
      <c r="C50" s="196" t="s">
        <v>225</v>
      </c>
      <c r="D50" s="27"/>
      <c r="E50" s="344"/>
      <c r="F50" s="406"/>
      <c r="G50" s="406"/>
      <c r="H50" s="406"/>
      <c r="I50" s="406"/>
      <c r="J50" s="113"/>
      <c r="K50" s="113"/>
      <c r="L50" s="113"/>
      <c r="M50" s="22">
        <f t="shared" si="51"/>
        <v>0</v>
      </c>
      <c r="AL50" s="21">
        <f t="shared" si="47"/>
        <v>0</v>
      </c>
      <c r="AM50" s="21">
        <f>G50</f>
        <v>0</v>
      </c>
      <c r="AN50" s="21">
        <f>H50</f>
        <v>0</v>
      </c>
      <c r="AO50" s="21">
        <f>I50</f>
        <v>0</v>
      </c>
      <c r="AP50" s="62">
        <f t="shared" si="52"/>
        <v>0</v>
      </c>
      <c r="BD50" s="62"/>
      <c r="BO50" s="124" t="str">
        <f t="shared" si="45"/>
        <v>Publikasjoner</v>
      </c>
      <c r="BP50" s="247">
        <f t="shared" si="53"/>
        <v>0</v>
      </c>
      <c r="BQ50" s="21">
        <f>IF($C50=$BO$1,AM50,0)</f>
        <v>0</v>
      </c>
      <c r="BR50" s="21">
        <f>IF($C50=$BO$1,AN50,0)</f>
        <v>0</v>
      </c>
      <c r="BS50" s="21">
        <f>IF($C50=$BO$1,AO50,0)</f>
        <v>0</v>
      </c>
      <c r="BT50" s="199">
        <f t="shared" si="54"/>
        <v>0</v>
      </c>
      <c r="BV50" s="124" t="str">
        <f t="shared" si="46"/>
        <v>Publikasjoner</v>
      </c>
      <c r="BW50" s="21">
        <f t="shared" si="55"/>
        <v>0</v>
      </c>
      <c r="BX50" s="21">
        <f t="shared" si="58"/>
        <v>0</v>
      </c>
      <c r="BY50" s="21">
        <f t="shared" si="58"/>
        <v>0</v>
      </c>
      <c r="BZ50" s="21">
        <f t="shared" si="58"/>
        <v>0</v>
      </c>
      <c r="CA50" s="62">
        <f t="shared" si="57"/>
        <v>0</v>
      </c>
    </row>
    <row r="51" spans="1:79" ht="15" x14ac:dyDescent="0.25">
      <c r="A51" s="398" t="s">
        <v>286</v>
      </c>
      <c r="B51" s="24"/>
      <c r="C51" s="212" t="s">
        <v>225</v>
      </c>
      <c r="D51" s="27"/>
      <c r="E51" s="389"/>
      <c r="F51" s="406"/>
      <c r="G51" s="406"/>
      <c r="H51" s="406"/>
      <c r="I51" s="406"/>
      <c r="J51" s="41"/>
      <c r="K51" s="41"/>
      <c r="L51" s="41"/>
      <c r="M51" s="22">
        <f t="shared" si="51"/>
        <v>0</v>
      </c>
      <c r="AL51" s="256">
        <f t="shared" ref="AL51:AO53" si="59">F51</f>
        <v>0</v>
      </c>
      <c r="AM51" s="21">
        <f t="shared" si="59"/>
        <v>0</v>
      </c>
      <c r="AN51" s="21">
        <f t="shared" si="59"/>
        <v>0</v>
      </c>
      <c r="AO51" s="21">
        <f t="shared" si="59"/>
        <v>0</v>
      </c>
      <c r="AP51" s="62">
        <f t="shared" si="52"/>
        <v>0</v>
      </c>
      <c r="BD51" s="62"/>
      <c r="BO51" s="124" t="str">
        <f>A51</f>
        <v>Innkjøp av FoU-tjenester/ Subcontracting</v>
      </c>
      <c r="BP51" s="247">
        <f t="shared" ref="BP51:BS53" si="60">IF($C51=$BO$1,AL51,0)</f>
        <v>0</v>
      </c>
      <c r="BQ51" s="21">
        <f t="shared" si="60"/>
        <v>0</v>
      </c>
      <c r="BR51" s="21">
        <f t="shared" si="60"/>
        <v>0</v>
      </c>
      <c r="BS51" s="21">
        <f t="shared" si="60"/>
        <v>0</v>
      </c>
      <c r="BT51" s="199">
        <f t="shared" si="54"/>
        <v>0</v>
      </c>
      <c r="BV51" s="124" t="str">
        <f t="shared" ref="BV51:BV56" si="61">A51</f>
        <v>Innkjøp av FoU-tjenester/ Subcontracting</v>
      </c>
      <c r="BW51" s="21">
        <f>IF($C51=$BV$1,AL51,0)</f>
        <v>0</v>
      </c>
      <c r="BX51" s="21">
        <f t="shared" ref="BX51:BZ53" si="62">IF($C51=$BV$1,-AM51,0)</f>
        <v>0</v>
      </c>
      <c r="BY51" s="21">
        <f t="shared" si="62"/>
        <v>0</v>
      </c>
      <c r="BZ51" s="21">
        <f t="shared" si="62"/>
        <v>0</v>
      </c>
      <c r="CA51" s="62">
        <f t="shared" si="57"/>
        <v>0</v>
      </c>
    </row>
    <row r="52" spans="1:79" ht="15" x14ac:dyDescent="0.25">
      <c r="A52" s="398" t="s">
        <v>158</v>
      </c>
      <c r="B52" s="24"/>
      <c r="C52" s="212" t="s">
        <v>225</v>
      </c>
      <c r="D52" s="27"/>
      <c r="E52" s="344"/>
      <c r="F52" s="406"/>
      <c r="G52" s="406"/>
      <c r="H52" s="406"/>
      <c r="I52" s="406"/>
      <c r="J52" s="137"/>
      <c r="K52" s="137"/>
      <c r="L52" s="137"/>
      <c r="M52" s="22">
        <f t="shared" si="51"/>
        <v>0</v>
      </c>
      <c r="AL52" s="256">
        <f t="shared" si="59"/>
        <v>0</v>
      </c>
      <c r="AM52" s="21">
        <f t="shared" si="59"/>
        <v>0</v>
      </c>
      <c r="AN52" s="21">
        <f t="shared" si="59"/>
        <v>0</v>
      </c>
      <c r="AO52" s="21">
        <f t="shared" si="59"/>
        <v>0</v>
      </c>
      <c r="AP52" s="62">
        <f t="shared" si="52"/>
        <v>0</v>
      </c>
      <c r="BD52" s="62"/>
      <c r="BO52" s="124" t="str">
        <f>A52</f>
        <v>Viderefordelte midler</v>
      </c>
      <c r="BP52" s="247">
        <f t="shared" si="60"/>
        <v>0</v>
      </c>
      <c r="BQ52" s="21">
        <f t="shared" si="60"/>
        <v>0</v>
      </c>
      <c r="BR52" s="21">
        <f t="shared" si="60"/>
        <v>0</v>
      </c>
      <c r="BS52" s="21">
        <f t="shared" si="60"/>
        <v>0</v>
      </c>
      <c r="BT52" s="199">
        <f t="shared" si="54"/>
        <v>0</v>
      </c>
      <c r="BV52" s="124" t="str">
        <f t="shared" si="61"/>
        <v>Viderefordelte midler</v>
      </c>
      <c r="BW52" s="21">
        <f>IF($C52=$BV$1,-AL52,0)</f>
        <v>0</v>
      </c>
      <c r="BX52" s="21">
        <f t="shared" si="62"/>
        <v>0</v>
      </c>
      <c r="BY52" s="21">
        <f t="shared" si="62"/>
        <v>0</v>
      </c>
      <c r="BZ52" s="21">
        <f t="shared" si="62"/>
        <v>0</v>
      </c>
      <c r="CA52" s="62">
        <f t="shared" si="57"/>
        <v>0</v>
      </c>
    </row>
    <row r="53" spans="1:79" ht="15" x14ac:dyDescent="0.25">
      <c r="A53" s="398" t="s">
        <v>10</v>
      </c>
      <c r="B53" s="24"/>
      <c r="C53" s="213" t="s">
        <v>225</v>
      </c>
      <c r="D53" s="27"/>
      <c r="E53" s="389"/>
      <c r="F53" s="406"/>
      <c r="G53" s="406"/>
      <c r="H53" s="406"/>
      <c r="I53" s="406"/>
      <c r="J53" s="39"/>
      <c r="K53" s="39"/>
      <c r="L53" s="39"/>
      <c r="M53" s="39">
        <f t="shared" si="51"/>
        <v>0</v>
      </c>
      <c r="AL53" s="256">
        <f t="shared" si="59"/>
        <v>0</v>
      </c>
      <c r="AM53" s="21">
        <f t="shared" si="59"/>
        <v>0</v>
      </c>
      <c r="AN53" s="21">
        <f t="shared" si="59"/>
        <v>0</v>
      </c>
      <c r="AO53" s="21">
        <f t="shared" si="59"/>
        <v>0</v>
      </c>
      <c r="AP53" s="62">
        <f t="shared" si="52"/>
        <v>0</v>
      </c>
      <c r="BD53" s="62"/>
      <c r="BO53" s="124" t="str">
        <f>A53</f>
        <v>Investeringer (utstyr)</v>
      </c>
      <c r="BP53" s="247">
        <f t="shared" si="60"/>
        <v>0</v>
      </c>
      <c r="BQ53" s="21">
        <f t="shared" si="60"/>
        <v>0</v>
      </c>
      <c r="BR53" s="21">
        <f t="shared" si="60"/>
        <v>0</v>
      </c>
      <c r="BS53" s="21">
        <f t="shared" si="60"/>
        <v>0</v>
      </c>
      <c r="BT53" s="199">
        <f t="shared" si="54"/>
        <v>0</v>
      </c>
      <c r="BV53" s="124" t="str">
        <f t="shared" si="61"/>
        <v>Investeringer (utstyr)</v>
      </c>
      <c r="BW53" s="21">
        <f>IF($C53=$BV$1,-AL53,0)</f>
        <v>0</v>
      </c>
      <c r="BX53" s="21">
        <f t="shared" si="62"/>
        <v>0</v>
      </c>
      <c r="BY53" s="21">
        <f t="shared" si="62"/>
        <v>0</v>
      </c>
      <c r="BZ53" s="21">
        <f t="shared" si="62"/>
        <v>0</v>
      </c>
      <c r="CA53" s="62">
        <f t="shared" si="57"/>
        <v>0</v>
      </c>
    </row>
    <row r="54" spans="1:79" ht="15" x14ac:dyDescent="0.25">
      <c r="A54" s="31" t="s">
        <v>0</v>
      </c>
      <c r="B54" s="31"/>
      <c r="C54" s="31"/>
      <c r="D54" s="31"/>
      <c r="E54" s="32"/>
      <c r="F54" s="32">
        <f>SUM(F45:F53)</f>
        <v>0</v>
      </c>
      <c r="G54" s="32">
        <f>SUM(G45:G53)</f>
        <v>0</v>
      </c>
      <c r="H54" s="32">
        <f>SUM(H45:H53)</f>
        <v>0</v>
      </c>
      <c r="I54" s="32">
        <f>SUM(I45:I53)</f>
        <v>0</v>
      </c>
      <c r="J54" s="38"/>
      <c r="K54" s="38"/>
      <c r="L54" s="38"/>
      <c r="M54" s="38">
        <f>SUM(M45:M53)</f>
        <v>0</v>
      </c>
      <c r="AK54" s="62">
        <f>(AL12+AL54-AL51)*0.25+AL54+AL12</f>
        <v>0</v>
      </c>
      <c r="AL54" s="25">
        <f>SUM(AL45:AL53)</f>
        <v>0</v>
      </c>
      <c r="AM54" s="25">
        <f>SUM(AM45:AM53)</f>
        <v>0</v>
      </c>
      <c r="AN54" s="25">
        <f>SUM(AN45:AN53)</f>
        <v>0</v>
      </c>
      <c r="AO54" s="25">
        <f>SUM(AO45:AO53)</f>
        <v>0</v>
      </c>
      <c r="AP54" s="62">
        <f t="shared" si="52"/>
        <v>0</v>
      </c>
      <c r="BD54" s="62"/>
      <c r="BO54" s="124" t="str">
        <f>A54</f>
        <v>Sum</v>
      </c>
      <c r="BP54" s="21">
        <f>SUM(BP45:BP53)</f>
        <v>0</v>
      </c>
      <c r="BQ54" s="21">
        <f>SUM(BQ45:BQ53)</f>
        <v>0</v>
      </c>
      <c r="BR54" s="21">
        <f>SUM(BR45:BR53)</f>
        <v>0</v>
      </c>
      <c r="BS54" s="21">
        <f>SUM(BS45:BS53)</f>
        <v>0</v>
      </c>
      <c r="BT54" s="199">
        <f t="shared" si="54"/>
        <v>0</v>
      </c>
      <c r="BV54" s="124" t="str">
        <f t="shared" si="61"/>
        <v>Sum</v>
      </c>
      <c r="BW54" s="25">
        <f>SUM(BW45:BW53)</f>
        <v>0</v>
      </c>
      <c r="BX54" s="25">
        <f>SUM(BX45:BX53)</f>
        <v>0</v>
      </c>
      <c r="BY54" s="25">
        <f>SUM(BY45:BY53)</f>
        <v>0</v>
      </c>
      <c r="BZ54" s="25">
        <f>SUM(BZ45:BZ53)</f>
        <v>0</v>
      </c>
      <c r="CA54" s="158">
        <f t="shared" si="57"/>
        <v>0</v>
      </c>
    </row>
    <row r="55" spans="1:79" x14ac:dyDescent="0.2">
      <c r="AL55" s="62"/>
      <c r="BD55" s="62"/>
      <c r="BO55" s="124"/>
      <c r="BP55" s="62"/>
      <c r="BQ55" s="62"/>
      <c r="BR55" s="62"/>
      <c r="BS55" s="62"/>
      <c r="BT55" s="62"/>
      <c r="BV55" s="124">
        <f t="shared" si="61"/>
        <v>0</v>
      </c>
      <c r="BW55" s="62"/>
      <c r="BX55" s="62"/>
      <c r="BY55" s="62"/>
      <c r="BZ55" s="62"/>
      <c r="CA55" s="62"/>
    </row>
    <row r="56" spans="1:79" ht="15" x14ac:dyDescent="0.25">
      <c r="A56" s="31" t="s">
        <v>49</v>
      </c>
      <c r="B56" s="31"/>
      <c r="C56" s="31"/>
      <c r="D56" s="31"/>
      <c r="E56" s="32" t="str">
        <f>Registrering!C26</f>
        <v>Fast beløp</v>
      </c>
      <c r="F56" s="32">
        <f>Finansiering!C7</f>
        <v>0</v>
      </c>
      <c r="G56" s="32">
        <f>Finansiering!D7</f>
        <v>0</v>
      </c>
      <c r="H56" s="32">
        <f>Finansiering!E7</f>
        <v>0</v>
      </c>
      <c r="I56" s="32">
        <f>Finansiering!F7</f>
        <v>0</v>
      </c>
      <c r="J56" s="38"/>
      <c r="K56" s="38"/>
      <c r="L56" s="38"/>
      <c r="M56" s="38">
        <f>SUM(F56:I56)</f>
        <v>0</v>
      </c>
      <c r="AL56" s="62">
        <f>AL12+AL20+AL54+AQ42</f>
        <v>0</v>
      </c>
      <c r="AM56" s="45" t="s">
        <v>313</v>
      </c>
      <c r="BD56" s="62"/>
      <c r="BO56" s="62" t="e">
        <f>SUM(BO45:BO53)+SUM(#REF!)+SUM(BO38:BO40)+SUM(BO15:BO19)+SUM(BO4:BO11)</f>
        <v>#REF!</v>
      </c>
      <c r="BP56" s="62">
        <f>SUM(BP45:BP53)+SUM(BP38:BP40)+SUM(BP15:BP19)+SUM(BP4:BP11)</f>
        <v>0</v>
      </c>
      <c r="BQ56" s="62">
        <f>SUM(BQ45:BQ53)+SUM(BQ38:BQ40)+SUM(BQ15:BQ19)+SUM(BQ4:BQ11)</f>
        <v>0</v>
      </c>
      <c r="BR56" s="62">
        <f>SUM(BR45:BR53)+SUM(BR38:BR40)+SUM(BR15:BR19)+SUM(BR4:BR11)</f>
        <v>0</v>
      </c>
      <c r="BS56" s="62">
        <f>SUM(BS45:BS53)+SUM(BS38:BS40)+SUM(BS15:BS19)+SUM(BS4:BS11)</f>
        <v>0</v>
      </c>
      <c r="BT56" s="62">
        <f>SUM(BT45:BT53)+SUM(BT38:BT40)+SUM(BT15:BT19)+SUM(BT4:BT11)</f>
        <v>0</v>
      </c>
      <c r="BV56" s="124" t="str">
        <f t="shared" si="61"/>
        <v>Eksterne inntekter</v>
      </c>
      <c r="BW56" s="62">
        <f>SUM(BW45:BW53)+SUM(BW38:BW40)+SUM(BW15:BW19)+SUM(BW4:BW11)</f>
        <v>0</v>
      </c>
      <c r="BX56" s="62">
        <f>SUM(BX45:BX53)+SUM(BX38:BX40)+SUM(BX15:BX19)+SUM(BX4:BX11)</f>
        <v>0</v>
      </c>
      <c r="BY56" s="62">
        <f>SUM(BY45:BY53)+SUM(BY38:BY40)+SUM(BY15:BY19)+SUM(BY4:BY11)</f>
        <v>0</v>
      </c>
      <c r="BZ56" s="62">
        <f>SUM(BZ45:BZ53)+SUM(BZ38:BZ40)+SUM(BZ15:BZ19)+SUM(BZ4:BZ11)</f>
        <v>0</v>
      </c>
      <c r="CA56" s="62">
        <f>SUM(CA45:CA53)+SUM(CA38:CA40)+SUM(CA15:CA19)+SUM(CA4:CA11)</f>
        <v>0</v>
      </c>
    </row>
    <row r="57" spans="1:79" ht="15" x14ac:dyDescent="0.25">
      <c r="A57" s="31" t="s">
        <v>6</v>
      </c>
      <c r="B57" s="31"/>
      <c r="C57" s="31"/>
      <c r="D57" s="31"/>
      <c r="E57" s="32" t="str">
        <f>Registrering!C25</f>
        <v>Kostnadsspesifikk</v>
      </c>
      <c r="F57" s="32">
        <f>BI6</f>
        <v>0</v>
      </c>
      <c r="G57" s="32">
        <f>BJ6</f>
        <v>0</v>
      </c>
      <c r="H57" s="32">
        <f>BK6</f>
        <v>0</v>
      </c>
      <c r="I57" s="32">
        <f>BL6</f>
        <v>0</v>
      </c>
      <c r="J57" s="38"/>
      <c r="K57" s="38"/>
      <c r="L57" s="38"/>
      <c r="M57" s="38">
        <f>SUM(F57:I57)</f>
        <v>0</v>
      </c>
      <c r="AL57" s="62">
        <f>AL12+AL20+AL54-AL48</f>
        <v>0</v>
      </c>
      <c r="AM57" s="62" t="s">
        <v>314</v>
      </c>
      <c r="BD57" s="62"/>
      <c r="BO57" s="124"/>
      <c r="BP57" s="45">
        <f>BP56*1.25</f>
        <v>0</v>
      </c>
      <c r="BQ57" s="45">
        <f>BQ56*1.25</f>
        <v>0</v>
      </c>
      <c r="BR57" s="45">
        <f>BR56*1.25</f>
        <v>0</v>
      </c>
      <c r="BS57" s="45">
        <f>BS56*1.25</f>
        <v>0</v>
      </c>
      <c r="BT57" s="67"/>
      <c r="BV57" s="124"/>
      <c r="CA57" s="67"/>
    </row>
    <row r="58" spans="1:79" ht="15" x14ac:dyDescent="0.25">
      <c r="A58" s="31" t="s">
        <v>50</v>
      </c>
      <c r="B58" s="31"/>
      <c r="C58" s="31"/>
      <c r="D58" s="31"/>
      <c r="E58" s="32"/>
      <c r="F58" s="32">
        <f>BI4</f>
        <v>0</v>
      </c>
      <c r="G58" s="32">
        <f>BJ4</f>
        <v>0</v>
      </c>
      <c r="H58" s="32">
        <f>BK4</f>
        <v>0</v>
      </c>
      <c r="I58" s="32">
        <f>BL4</f>
        <v>0</v>
      </c>
      <c r="J58" s="38"/>
      <c r="K58" s="38"/>
      <c r="L58" s="38"/>
      <c r="M58" s="38">
        <f>SUM(F58:I58)</f>
        <v>0</v>
      </c>
      <c r="AK58" s="62"/>
      <c r="AL58" s="62">
        <f>AL57*1.25</f>
        <v>0</v>
      </c>
      <c r="AM58" s="62" t="s">
        <v>315</v>
      </c>
      <c r="BD58" s="62"/>
      <c r="BP58" s="67"/>
      <c r="BQ58" s="67"/>
      <c r="BR58" s="67"/>
      <c r="BS58" s="67"/>
      <c r="BT58" s="67"/>
      <c r="BW58" s="67"/>
      <c r="BX58" s="67"/>
      <c r="BY58" s="67"/>
      <c r="BZ58" s="67"/>
      <c r="CA58" s="67"/>
    </row>
    <row r="59" spans="1:79" ht="15" x14ac:dyDescent="0.25">
      <c r="A59" s="31" t="s">
        <v>81</v>
      </c>
      <c r="B59" s="31"/>
      <c r="C59" s="31"/>
      <c r="D59" s="31"/>
      <c r="E59" s="32"/>
      <c r="F59" s="32">
        <f>SUM(F56:F58)</f>
        <v>0</v>
      </c>
      <c r="G59" s="32">
        <f>SUM(G56:G58)</f>
        <v>0</v>
      </c>
      <c r="H59" s="32">
        <f>SUM(H56:H58)</f>
        <v>0</v>
      </c>
      <c r="I59" s="32">
        <f>SUM(I56:I58)</f>
        <v>0</v>
      </c>
      <c r="J59" s="38"/>
      <c r="K59" s="38"/>
      <c r="L59" s="38"/>
      <c r="M59" s="32">
        <f>SUM(M56:M58)</f>
        <v>0</v>
      </c>
      <c r="AL59" s="62">
        <f>AL56-AL58</f>
        <v>0</v>
      </c>
      <c r="AM59" s="62"/>
      <c r="BD59" s="62"/>
      <c r="BO59" s="124"/>
      <c r="BV59" s="124"/>
    </row>
    <row r="60" spans="1:79" ht="21" x14ac:dyDescent="0.35">
      <c r="F60" s="61" t="s">
        <v>168</v>
      </c>
      <c r="BD60" s="62"/>
      <c r="BO60" s="124"/>
      <c r="BV60" s="124"/>
    </row>
    <row r="61" spans="1:79" ht="15" x14ac:dyDescent="0.25">
      <c r="A61" s="195" t="s">
        <v>251</v>
      </c>
      <c r="B61" s="195"/>
      <c r="F61" s="138" t="s">
        <v>157</v>
      </c>
      <c r="G61" s="255">
        <f>AU62</f>
        <v>0</v>
      </c>
      <c r="AP61" s="45" t="s">
        <v>328</v>
      </c>
      <c r="AQ61" s="328"/>
      <c r="BD61" s="62"/>
      <c r="BO61" s="124"/>
      <c r="BV61" s="124"/>
    </row>
    <row r="62" spans="1:79" ht="15" x14ac:dyDescent="0.25">
      <c r="A62" s="259" t="s">
        <v>73</v>
      </c>
      <c r="B62" s="259"/>
      <c r="F62" s="138" t="s">
        <v>157</v>
      </c>
      <c r="G62" s="255" t="str">
        <f>IFERROR(-(M56+K12+K20+M54-M48)/(K12+K20+K41),"")</f>
        <v/>
      </c>
      <c r="H62" s="254"/>
      <c r="I62" s="195"/>
      <c r="J62" s="184"/>
      <c r="L62" s="253"/>
      <c r="AP62" s="200" t="s">
        <v>180</v>
      </c>
      <c r="AQ62" s="207" t="str">
        <f>AQ70</f>
        <v/>
      </c>
      <c r="AR62" s="207" t="str">
        <f>AR70</f>
        <v/>
      </c>
      <c r="AS62" s="207" t="str">
        <f>AS70</f>
        <v/>
      </c>
      <c r="AT62" s="207" t="str">
        <f>AT70</f>
        <v/>
      </c>
      <c r="AU62" s="410">
        <f>IFERROR(AQ62*(AQ64+AQ67)/AU68,0)+IFERROR(AR62*(AR64+AR67)/AU68,0)+IFERROR(AS62*(AS64+AS67)/AU68,0)+IFERROR(AT62*(AT64+AT67)/AU68,0)</f>
        <v>0</v>
      </c>
      <c r="AW62" s="190" t="e">
        <f>-(F56+(F54-F48)+AL12+AL20+AL41)/(AL12+AL20+AL41)</f>
        <v>#DIV/0!</v>
      </c>
      <c r="AX62" s="190" t="e">
        <f>-(G56+(G54-G48)+AM12+AM20+AM41)/(AM12+AM20+AM41)</f>
        <v>#DIV/0!</v>
      </c>
      <c r="AY62" s="190" t="e">
        <f>-(H56+(H54-H48)+AN12+AN20+AN41)/(AN12+AN20+AN41)</f>
        <v>#DIV/0!</v>
      </c>
      <c r="AZ62" s="190" t="e">
        <f>-(I56+(I54-I48)+AO12+AO20+AO41)/(AO12+AO20+AO41)</f>
        <v>#DIV/0!</v>
      </c>
      <c r="BD62" s="62"/>
      <c r="BO62" s="124"/>
      <c r="BV62" s="124"/>
    </row>
    <row r="63" spans="1:79" ht="15" x14ac:dyDescent="0.25">
      <c r="H63" s="426"/>
      <c r="AP63" s="208" t="s">
        <v>120</v>
      </c>
      <c r="AQ63" s="139">
        <f>SUMIF($A$4:$A$34,$AP$63,F4:F34)</f>
        <v>0</v>
      </c>
      <c r="AR63" s="139">
        <f>SUMIF($A$4:$A$34,$AP$63,G4:G34)</f>
        <v>0</v>
      </c>
      <c r="AS63" s="139">
        <f>SUMIF($A$4:$A$34,$AP$63,H4:H34)</f>
        <v>0</v>
      </c>
      <c r="AT63" s="139">
        <f>SUMIF($A$4:$A$34,$AP$63,I4:I34)</f>
        <v>0</v>
      </c>
      <c r="AU63" s="45" t="s">
        <v>178</v>
      </c>
      <c r="BD63" s="62"/>
      <c r="BO63" s="124"/>
      <c r="BV63" s="124"/>
    </row>
    <row r="64" spans="1:79" ht="15.75" x14ac:dyDescent="0.25">
      <c r="A64" s="215" t="s">
        <v>155</v>
      </c>
      <c r="B64" s="390"/>
      <c r="C64" s="216"/>
      <c r="D64" s="216"/>
      <c r="E64" s="216"/>
      <c r="F64" s="217" t="s">
        <v>156</v>
      </c>
      <c r="G64" s="218">
        <f>'Intern oversikt'!G26</f>
        <v>0</v>
      </c>
      <c r="H64" s="426"/>
      <c r="L64" s="67"/>
      <c r="AP64" s="208" t="s">
        <v>120</v>
      </c>
      <c r="AQ64" s="139">
        <f>SUMIF($A$4:$A$34,$AP$64,AL4:AL34)</f>
        <v>0</v>
      </c>
      <c r="AR64" s="139">
        <f>SUMIF($A$4:$A$34,$AP$64,AM4:AM34)</f>
        <v>0</v>
      </c>
      <c r="AS64" s="139">
        <f>SUMIF($A$4:$A$34,$AP$64,AN4:AN34)</f>
        <v>0</v>
      </c>
      <c r="AT64" s="139">
        <f>SUMIF($A$4:$A$34,$AP$64,AO4:AO34)</f>
        <v>0</v>
      </c>
      <c r="AU64" s="45">
        <f>SUM(AQ64:AT64)</f>
        <v>0</v>
      </c>
      <c r="BD64" s="62"/>
      <c r="BO64" s="124"/>
      <c r="BV64" s="124"/>
    </row>
    <row r="65" spans="1:74" ht="15.75" x14ac:dyDescent="0.25">
      <c r="A65" s="219" t="s">
        <v>257</v>
      </c>
      <c r="B65" s="391"/>
      <c r="C65" s="139"/>
      <c r="D65" s="139"/>
      <c r="E65" s="139"/>
      <c r="F65" s="139"/>
      <c r="G65" s="220"/>
      <c r="H65" s="257"/>
      <c r="I65" s="257"/>
      <c r="J65" s="258"/>
      <c r="AP65" s="202"/>
      <c r="AQ65" s="87">
        <f>IFERROR(((AQ63*Tabeller!$J$14)/Budsjett!AQ64),0)</f>
        <v>0</v>
      </c>
      <c r="AR65" s="87">
        <f>IFERROR(((AR63*Tabeller!$J$14)/Budsjett!AR64),0)</f>
        <v>0</v>
      </c>
      <c r="AS65" s="87">
        <f>IFERROR(((AS63*Tabeller!$J$14)/Budsjett!AS64),0)</f>
        <v>0</v>
      </c>
      <c r="AT65" s="87"/>
      <c r="BD65" s="62"/>
      <c r="BO65" s="124"/>
      <c r="BV65" s="124"/>
    </row>
    <row r="66" spans="1:74" ht="15.75" x14ac:dyDescent="0.25">
      <c r="A66" s="221" t="s">
        <v>258</v>
      </c>
      <c r="B66" s="392"/>
      <c r="C66" s="210"/>
      <c r="D66" s="222"/>
      <c r="E66" s="210"/>
      <c r="F66" s="210"/>
      <c r="G66" s="223">
        <f>G64-G65</f>
        <v>0</v>
      </c>
      <c r="AP66" s="202" t="s">
        <v>195</v>
      </c>
      <c r="AQ66" s="209">
        <f>F42-AQ63</f>
        <v>0</v>
      </c>
      <c r="AR66" s="209">
        <f>G42-AR63</f>
        <v>0</v>
      </c>
      <c r="AS66" s="209">
        <f>H42-AS63</f>
        <v>0</v>
      </c>
      <c r="AT66" s="209">
        <f>I42-AT63</f>
        <v>0</v>
      </c>
      <c r="BD66" s="62"/>
      <c r="BO66" s="124"/>
      <c r="BV66" s="124"/>
    </row>
    <row r="67" spans="1:74" x14ac:dyDescent="0.2">
      <c r="K67" s="67"/>
      <c r="AP67" s="202" t="s">
        <v>196</v>
      </c>
      <c r="AQ67" s="159">
        <f>AL42-AQ64</f>
        <v>0</v>
      </c>
      <c r="AR67" s="159">
        <f>AM42-AR64</f>
        <v>0</v>
      </c>
      <c r="AS67" s="159">
        <f>AN42-AS64</f>
        <v>0</v>
      </c>
      <c r="AT67" s="159">
        <f>AO42-AT64</f>
        <v>0</v>
      </c>
      <c r="AU67" s="62">
        <f>SUM(AQ67:AT67)</f>
        <v>0</v>
      </c>
      <c r="BD67" s="62"/>
      <c r="BO67" s="124"/>
      <c r="BV67" s="124"/>
    </row>
    <row r="68" spans="1:74" ht="15" x14ac:dyDescent="0.25">
      <c r="K68" s="67"/>
      <c r="AP68" s="202" t="s">
        <v>197</v>
      </c>
      <c r="AQ68" s="87" t="str">
        <f>IFERROR(((Budsjett!AQ66*Tabeller!J13)/Budsjett!AQ67),"")</f>
        <v/>
      </c>
      <c r="AR68" s="87" t="str">
        <f>IFERROR(((Budsjett!AR66*Tabeller!K13)/Budsjett!AR67),"")</f>
        <v/>
      </c>
      <c r="AS68" s="87" t="str">
        <f>IFERROR(((Budsjett!AS66*Tabeller!L13)/Budsjett!AS67),"")</f>
        <v/>
      </c>
      <c r="AT68" s="87" t="str">
        <f>IFERROR(((Budsjett!AT66*Tabeller!M13)/Budsjett!AT67),"")</f>
        <v/>
      </c>
      <c r="AU68" s="62">
        <f>AU67+AU64</f>
        <v>0</v>
      </c>
      <c r="BD68" s="62"/>
      <c r="BO68" s="124"/>
      <c r="BV68" s="124"/>
    </row>
    <row r="69" spans="1:74" x14ac:dyDescent="0.2">
      <c r="K69" s="164"/>
      <c r="AP69" s="202" t="s">
        <v>198</v>
      </c>
      <c r="AQ69" s="139">
        <f>IFERROR((AQ64/(AQ64+AQ67)*AQ65),0)+IFERROR((AQ67/(AQ64+AQ67)*AQ68),0)</f>
        <v>0</v>
      </c>
      <c r="AR69" s="139">
        <f>IFERROR((AR64/(AR64+AR67)*AR65),0)+IFERROR((AR67/(AR64+AR67)*AR68),0)</f>
        <v>0</v>
      </c>
      <c r="AS69" s="139">
        <f>IFERROR((AS64/(AS64+AS67)*AS65),0)+IFERROR((AS67/(AS64+AS67)*AS68),0)</f>
        <v>0</v>
      </c>
      <c r="AT69" s="139">
        <f>IFERROR((AT64/(AT64+AT67)*AT65),0)+IFERROR((AT67/(AT64+AT67)*AT68),0)</f>
        <v>0</v>
      </c>
      <c r="BD69" s="62"/>
      <c r="BO69" s="124"/>
      <c r="BV69" s="124"/>
    </row>
    <row r="70" spans="1:74" x14ac:dyDescent="0.2">
      <c r="AP70" s="204"/>
      <c r="AQ70" s="210" t="str">
        <f>IF(AQ69&gt;0,AQ69,"")</f>
        <v/>
      </c>
      <c r="AR70" s="210" t="str">
        <f>IF(AR69&gt;0,AR69,"")</f>
        <v/>
      </c>
      <c r="AS70" s="210" t="str">
        <f>IF(AS69&gt;0,AS69,"")</f>
        <v/>
      </c>
      <c r="AT70" s="210" t="str">
        <f>IF(AT69&gt;0,AT69,"")</f>
        <v/>
      </c>
      <c r="BD70" s="62"/>
      <c r="BO70" s="124"/>
      <c r="BV70" s="124"/>
    </row>
    <row r="71" spans="1:74" x14ac:dyDescent="0.2">
      <c r="BD71" s="62"/>
      <c r="BO71" s="124"/>
      <c r="BV71" s="124"/>
    </row>
    <row r="72" spans="1:74" x14ac:dyDescent="0.2">
      <c r="BD72" s="62"/>
      <c r="BO72" s="124"/>
      <c r="BV72" s="124"/>
    </row>
    <row r="73" spans="1:74" x14ac:dyDescent="0.2">
      <c r="BO73" s="124"/>
      <c r="BV73" s="124"/>
    </row>
  </sheetData>
  <sheetProtection algorithmName="SHA-512" hashValue="7TEnu/MQ6yeA2jg4IYWEYyyAL7XAVVLVZtTP1QpAFTc8TSgE4l/4Dd2K5vw7vxcJHeJ1u7Io4eFmtdyv49L/1Q==" saltValue="I9dqpBZ0yi7NGopd7Y46xw==" spinCount="100000" sheet="1" formatColumns="0"/>
  <phoneticPr fontId="42" type="noConversion"/>
  <conditionalFormatting sqref="E1 J1 J5:J11 E21 K3:M3 J16:J19 AC21:AK21 W21:AA21 C12:I12 A2:F2 G21:M21 A4:B12 A15:B19 E4:E11 A23:B34 J24:K34 D23:D34 M24:M34 BC23:BF34 F23:I34 BW23:CA34 BT23:BT34 BP23:BS35">
    <cfRule type="expression" dxfId="218" priority="1065" stopIfTrue="1">
      <formula>#REF!="NEI"</formula>
    </cfRule>
  </conditionalFormatting>
  <conditionalFormatting sqref="M16:M19 K16:K19 E56 F57:I57 A13:D13 A57:D57 A45:A47 A51:A53 D45:D53 D15:E19">
    <cfRule type="expression" dxfId="217" priority="1026" stopIfTrue="1">
      <formula>#REF!="NEI"</formula>
    </cfRule>
  </conditionalFormatting>
  <conditionalFormatting sqref="A21:D21">
    <cfRule type="expression" dxfId="216" priority="1025" stopIfTrue="1">
      <formula>#REF!="NEI"</formula>
    </cfRule>
  </conditionalFormatting>
  <conditionalFormatting sqref="K5:K11 A3:D3 C35:D37 A20:D20 A54:D54 A58:B58 C58:D59 A56:D56 A14:D14 A22:D22 A35:B36 A41:D44 BW45:BZ47 BW51:BZ53 F48:I49 F41:J42 BP41:BT42 BP3:BT3 BP22:BT22 BP37:BT37 BP14:BT14 BW41:CA42 BW3:CA3 BW22:CA22 BW37:CA37 BW14:CA14 BP44:BT44 BW44:CA44 J46:J49 K45:M49 J50:M52 BP45:BS54">
    <cfRule type="expression" dxfId="215" priority="1022" stopIfTrue="1">
      <formula>#REF!="NEI"</formula>
    </cfRule>
  </conditionalFormatting>
  <conditionalFormatting sqref="AL21:AO21">
    <cfRule type="expression" dxfId="214" priority="1021" stopIfTrue="1">
      <formula>#REF!="NEI"</formula>
    </cfRule>
  </conditionalFormatting>
  <conditionalFormatting sqref="AQ21:AT21">
    <cfRule type="expression" dxfId="213" priority="1015" stopIfTrue="1">
      <formula>#REF!="NEI"</formula>
    </cfRule>
  </conditionalFormatting>
  <conditionalFormatting sqref="M5:M11">
    <cfRule type="expression" dxfId="212" priority="1014" stopIfTrue="1">
      <formula>#REF!="NEI"</formula>
    </cfRule>
  </conditionalFormatting>
  <conditionalFormatting sqref="E3">
    <cfRule type="expression" dxfId="211" priority="973" stopIfTrue="1">
      <formula>#REF!="NEI"</formula>
    </cfRule>
  </conditionalFormatting>
  <conditionalFormatting sqref="J3">
    <cfRule type="expression" dxfId="210" priority="969" stopIfTrue="1">
      <formula>#REF!="NEI"</formula>
    </cfRule>
  </conditionalFormatting>
  <conditionalFormatting sqref="E43">
    <cfRule type="expression" dxfId="209" priority="941" stopIfTrue="1">
      <formula>#REF!="NEI"</formula>
    </cfRule>
  </conditionalFormatting>
  <conditionalFormatting sqref="F43">
    <cfRule type="expression" dxfId="208" priority="932" stopIfTrue="1">
      <formula>#REF!="NEI"</formula>
    </cfRule>
  </conditionalFormatting>
  <conditionalFormatting sqref="AQ42:AT42">
    <cfRule type="expression" dxfId="207" priority="899" stopIfTrue="1">
      <formula>#REF!="NEI"</formula>
    </cfRule>
  </conditionalFormatting>
  <conditionalFormatting sqref="AL42:AO42">
    <cfRule type="expression" dxfId="206" priority="898" stopIfTrue="1">
      <formula>#REF!="NEI"</formula>
    </cfRule>
  </conditionalFormatting>
  <conditionalFormatting sqref="BC4:BF11">
    <cfRule type="expression" dxfId="205" priority="914" stopIfTrue="1">
      <formula>#REF!="NEI"</formula>
    </cfRule>
  </conditionalFormatting>
  <conditionalFormatting sqref="AL3:AO3">
    <cfRule type="expression" dxfId="204" priority="872" stopIfTrue="1">
      <formula>#REF!="NEI"</formula>
    </cfRule>
  </conditionalFormatting>
  <conditionalFormatting sqref="BC42:BF42">
    <cfRule type="expression" dxfId="203" priority="902" stopIfTrue="1">
      <formula>#REF!="NEI"</formula>
    </cfRule>
  </conditionalFormatting>
  <conditionalFormatting sqref="BC22:BF22">
    <cfRule type="expression" dxfId="202" priority="892" stopIfTrue="1">
      <formula>#REF!="NEI"</formula>
    </cfRule>
  </conditionalFormatting>
  <conditionalFormatting sqref="BC3:BF3 C50">
    <cfRule type="expression" dxfId="201" priority="888" stopIfTrue="1">
      <formula>#REF!="NEI"</formula>
    </cfRule>
  </conditionalFormatting>
  <conditionalFormatting sqref="BC14:BF14">
    <cfRule type="expression" dxfId="200" priority="887" stopIfTrue="1">
      <formula>#REF!="NEI"</formula>
    </cfRule>
  </conditionalFormatting>
  <conditionalFormatting sqref="AQ12:AT12">
    <cfRule type="expression" dxfId="199" priority="874" stopIfTrue="1">
      <formula>#REF!="NEI"</formula>
    </cfRule>
  </conditionalFormatting>
  <conditionalFormatting sqref="AQ3:AT3">
    <cfRule type="expression" dxfId="198" priority="873" stopIfTrue="1">
      <formula>#REF!="NEI"</formula>
    </cfRule>
  </conditionalFormatting>
  <conditionalFormatting sqref="AL12:AO12">
    <cfRule type="expression" dxfId="197" priority="871" stopIfTrue="1">
      <formula>#REF!="NEI"</formula>
    </cfRule>
  </conditionalFormatting>
  <conditionalFormatting sqref="AL14:AO14">
    <cfRule type="expression" dxfId="196" priority="870" stopIfTrue="1">
      <formula>#REF!="NEI"</formula>
    </cfRule>
  </conditionalFormatting>
  <conditionalFormatting sqref="AQ35:AT35">
    <cfRule type="expression" dxfId="195" priority="876" stopIfTrue="1">
      <formula>#REF!="NEI"</formula>
    </cfRule>
  </conditionalFormatting>
  <conditionalFormatting sqref="AQ20:AT20">
    <cfRule type="expression" dxfId="194" priority="875" stopIfTrue="1">
      <formula>#REF!="NEI"</formula>
    </cfRule>
  </conditionalFormatting>
  <conditionalFormatting sqref="AL20:AO20">
    <cfRule type="expression" dxfId="193" priority="869" stopIfTrue="1">
      <formula>#REF!="NEI"</formula>
    </cfRule>
  </conditionalFormatting>
  <conditionalFormatting sqref="AL22:AO22">
    <cfRule type="expression" dxfId="192" priority="868" stopIfTrue="1">
      <formula>#REF!="NEI"</formula>
    </cfRule>
  </conditionalFormatting>
  <conditionalFormatting sqref="AL35:AO35">
    <cfRule type="expression" dxfId="191" priority="867" stopIfTrue="1">
      <formula>#REF!="NEI"</formula>
    </cfRule>
  </conditionalFormatting>
  <conditionalFormatting sqref="AW12:AZ12">
    <cfRule type="expression" dxfId="190" priority="829" stopIfTrue="1">
      <formula>#REF!="NEI"</formula>
    </cfRule>
  </conditionalFormatting>
  <conditionalFormatting sqref="AW21:AZ21">
    <cfRule type="expression" dxfId="189" priority="833" stopIfTrue="1">
      <formula>#REF!="NEI"</formula>
    </cfRule>
  </conditionalFormatting>
  <conditionalFormatting sqref="AW42:AZ42">
    <cfRule type="expression" dxfId="188" priority="832" stopIfTrue="1">
      <formula>#REF!="NEI"</formula>
    </cfRule>
  </conditionalFormatting>
  <conditionalFormatting sqref="AW20:AZ20">
    <cfRule type="expression" dxfId="187" priority="830" stopIfTrue="1">
      <formula>#REF!="NEI"</formula>
    </cfRule>
  </conditionalFormatting>
  <conditionalFormatting sqref="AW3:AZ3">
    <cfRule type="expression" dxfId="186" priority="828" stopIfTrue="1">
      <formula>#REF!="NEI"</formula>
    </cfRule>
  </conditionalFormatting>
  <conditionalFormatting sqref="AW14:AZ14">
    <cfRule type="expression" dxfId="185" priority="827" stopIfTrue="1">
      <formula>#REF!="NEI"</formula>
    </cfRule>
  </conditionalFormatting>
  <conditionalFormatting sqref="AW22:AZ22">
    <cfRule type="expression" dxfId="184" priority="826" stopIfTrue="1">
      <formula>#REF!="NEI"</formula>
    </cfRule>
  </conditionalFormatting>
  <conditionalFormatting sqref="BC20:BF20">
    <cfRule type="expression" dxfId="183" priority="824" stopIfTrue="1">
      <formula>#REF!="NEI"</formula>
    </cfRule>
  </conditionalFormatting>
  <conditionalFormatting sqref="BC12:BF12">
    <cfRule type="expression" dxfId="182" priority="823" stopIfTrue="1">
      <formula>#REF!="NEI"</formula>
    </cfRule>
  </conditionalFormatting>
  <conditionalFormatting sqref="BC35:BF35">
    <cfRule type="expression" dxfId="181" priority="822" stopIfTrue="1">
      <formula>#REF!="NEI"</formula>
    </cfRule>
  </conditionalFormatting>
  <conditionalFormatting sqref="D4:D11">
    <cfRule type="expression" dxfId="180" priority="802" stopIfTrue="1">
      <formula>#REF!="NEI"</formula>
    </cfRule>
  </conditionalFormatting>
  <conditionalFormatting sqref="E45:E53">
    <cfRule type="expression" dxfId="179" priority="806" stopIfTrue="1">
      <formula>#REF!="NEI"</formula>
    </cfRule>
  </conditionalFormatting>
  <conditionalFormatting sqref="J12:M12">
    <cfRule type="expression" dxfId="178" priority="772" stopIfTrue="1">
      <formula>#REF!="NEI"</formula>
    </cfRule>
  </conditionalFormatting>
  <conditionalFormatting sqref="AW35:AZ35">
    <cfRule type="expression" dxfId="177" priority="795" stopIfTrue="1">
      <formula>#REF!="NEI"</formula>
    </cfRule>
  </conditionalFormatting>
  <conditionalFormatting sqref="J53">
    <cfRule type="expression" dxfId="176" priority="764" stopIfTrue="1">
      <formula>#REF!="NEI"</formula>
    </cfRule>
  </conditionalFormatting>
  <conditionalFormatting sqref="K53:L53">
    <cfRule type="expression" dxfId="175" priority="763" stopIfTrue="1">
      <formula>#REF!="NEI"</formula>
    </cfRule>
  </conditionalFormatting>
  <conditionalFormatting sqref="M53">
    <cfRule type="expression" dxfId="174" priority="762" stopIfTrue="1">
      <formula>#REF!="NEI"</formula>
    </cfRule>
  </conditionalFormatting>
  <conditionalFormatting sqref="K20:M20">
    <cfRule type="expression" dxfId="173" priority="757" stopIfTrue="1">
      <formula>#REF!="NEI"</formula>
    </cfRule>
  </conditionalFormatting>
  <conditionalFormatting sqref="E35">
    <cfRule type="expression" dxfId="172" priority="755" stopIfTrue="1">
      <formula>#REF!="NEI"</formula>
    </cfRule>
  </conditionalFormatting>
  <conditionalFormatting sqref="E20">
    <cfRule type="expression" dxfId="171" priority="758" stopIfTrue="1">
      <formula>#REF!="NEI"</formula>
    </cfRule>
  </conditionalFormatting>
  <conditionalFormatting sqref="K35:M35">
    <cfRule type="expression" dxfId="170" priority="754" stopIfTrue="1">
      <formula>#REF!="NEI"</formula>
    </cfRule>
  </conditionalFormatting>
  <conditionalFormatting sqref="E42">
    <cfRule type="expression" dxfId="169" priority="752" stopIfTrue="1">
      <formula>#REF!="NEI"</formula>
    </cfRule>
  </conditionalFormatting>
  <conditionalFormatting sqref="K42:M42">
    <cfRule type="expression" dxfId="168" priority="751" stopIfTrue="1">
      <formula>#REF!="NEI"</formula>
    </cfRule>
  </conditionalFormatting>
  <conditionalFormatting sqref="J54:M54">
    <cfRule type="expression" dxfId="167" priority="745" stopIfTrue="1">
      <formula>#REF!="NEI"</formula>
    </cfRule>
  </conditionalFormatting>
  <conditionalFormatting sqref="E54:I54">
    <cfRule type="expression" dxfId="166" priority="746" stopIfTrue="1">
      <formula>#REF!="NEI"</formula>
    </cfRule>
  </conditionalFormatting>
  <conditionalFormatting sqref="F3:I3">
    <cfRule type="expression" dxfId="165" priority="732" stopIfTrue="1">
      <formula>#REF!="NEI"</formula>
    </cfRule>
  </conditionalFormatting>
  <conditionalFormatting sqref="F48:I49">
    <cfRule type="expression" dxfId="164" priority="693" stopIfTrue="1">
      <formula>#REF!="NEI"</formula>
    </cfRule>
  </conditionalFormatting>
  <conditionalFormatting sqref="F20:I20">
    <cfRule type="expression" dxfId="163" priority="638" stopIfTrue="1">
      <formula>#REF!="NEI"</formula>
    </cfRule>
  </conditionalFormatting>
  <conditionalFormatting sqref="F35:I35">
    <cfRule type="expression" dxfId="162" priority="636" stopIfTrue="1">
      <formula>#REF!="NEI"</formula>
    </cfRule>
  </conditionalFormatting>
  <conditionalFormatting sqref="J35">
    <cfRule type="expression" dxfId="161" priority="604" stopIfTrue="1">
      <formula>#REF!="NEI"</formula>
    </cfRule>
  </conditionalFormatting>
  <conditionalFormatting sqref="J20">
    <cfRule type="expression" dxfId="160" priority="606" stopIfTrue="1">
      <formula>#REF!="NEI"</formula>
    </cfRule>
  </conditionalFormatting>
  <conditionalFormatting sqref="J58:M58">
    <cfRule type="expression" dxfId="159" priority="569" stopIfTrue="1">
      <formula>#REF!="NEI"</formula>
    </cfRule>
  </conditionalFormatting>
  <conditionalFormatting sqref="AL54:AO54">
    <cfRule type="expression" dxfId="158" priority="603" stopIfTrue="1">
      <formula>#REF!="NEI"</formula>
    </cfRule>
  </conditionalFormatting>
  <conditionalFormatting sqref="AL44:AO44">
    <cfRule type="expression" dxfId="157" priority="602" stopIfTrue="1">
      <formula>#REF!="NEI"</formula>
    </cfRule>
  </conditionalFormatting>
  <conditionalFormatting sqref="BC18:BF18">
    <cfRule type="expression" dxfId="156" priority="577" stopIfTrue="1">
      <formula>#REF!="NEI"</formula>
    </cfRule>
  </conditionalFormatting>
  <conditionalFormatting sqref="BC15:BF15">
    <cfRule type="expression" dxfId="155" priority="580" stopIfTrue="1">
      <formula>#REF!="NEI"</formula>
    </cfRule>
  </conditionalFormatting>
  <conditionalFormatting sqref="BC16:BF16">
    <cfRule type="expression" dxfId="154" priority="579" stopIfTrue="1">
      <formula>#REF!="NEI"</formula>
    </cfRule>
  </conditionalFormatting>
  <conditionalFormatting sqref="BC17:BF17">
    <cfRule type="expression" dxfId="153" priority="578" stopIfTrue="1">
      <formula>#REF!="NEI"</formula>
    </cfRule>
  </conditionalFormatting>
  <conditionalFormatting sqref="BC19:BF19">
    <cfRule type="expression" dxfId="152" priority="576" stopIfTrue="1">
      <formula>#REF!="NEI"</formula>
    </cfRule>
  </conditionalFormatting>
  <conditionalFormatting sqref="J44">
    <cfRule type="expression" dxfId="151" priority="548" stopIfTrue="1">
      <formula>#REF!="NEI"</formula>
    </cfRule>
  </conditionalFormatting>
  <conditionalFormatting sqref="E58:I58">
    <cfRule type="expression" dxfId="150" priority="570" stopIfTrue="1">
      <formula>#REF!="NEI"</formula>
    </cfRule>
  </conditionalFormatting>
  <conditionalFormatting sqref="J56:M56">
    <cfRule type="expression" dxfId="149" priority="567" stopIfTrue="1">
      <formula>#REF!="NEI"</formula>
    </cfRule>
  </conditionalFormatting>
  <conditionalFormatting sqref="F56:I56">
    <cfRule type="expression" dxfId="148" priority="568" stopIfTrue="1">
      <formula>#REF!="NEI"</formula>
    </cfRule>
  </conditionalFormatting>
  <conditionalFormatting sqref="J57:M57">
    <cfRule type="expression" dxfId="147" priority="565" stopIfTrue="1">
      <formula>#REF!="NEI"</formula>
    </cfRule>
  </conditionalFormatting>
  <conditionalFormatting sqref="J59:L59">
    <cfRule type="expression" dxfId="146" priority="563" stopIfTrue="1">
      <formula>#REF!="NEI"</formula>
    </cfRule>
  </conditionalFormatting>
  <conditionalFormatting sqref="E59:I59">
    <cfRule type="expression" dxfId="145" priority="564" stopIfTrue="1">
      <formula>#REF!="NEI"</formula>
    </cfRule>
  </conditionalFormatting>
  <conditionalFormatting sqref="A59:B59">
    <cfRule type="expression" dxfId="144" priority="562" stopIfTrue="1">
      <formula>#REF!="NEI"</formula>
    </cfRule>
  </conditionalFormatting>
  <conditionalFormatting sqref="M59">
    <cfRule type="expression" dxfId="143" priority="561" stopIfTrue="1">
      <formula>#REF!="NEI"</formula>
    </cfRule>
  </conditionalFormatting>
  <conditionalFormatting sqref="L14:M14">
    <cfRule type="expression" dxfId="142" priority="558" stopIfTrue="1">
      <formula>#REF!="NEI"</formula>
    </cfRule>
  </conditionalFormatting>
  <conditionalFormatting sqref="E14">
    <cfRule type="expression" dxfId="141" priority="557" stopIfTrue="1">
      <formula>#REF!="NEI"</formula>
    </cfRule>
  </conditionalFormatting>
  <conditionalFormatting sqref="J14">
    <cfRule type="expression" dxfId="140" priority="556" stopIfTrue="1">
      <formula>#REF!="NEI"</formula>
    </cfRule>
  </conditionalFormatting>
  <conditionalFormatting sqref="J22">
    <cfRule type="expression" dxfId="139" priority="552" stopIfTrue="1">
      <formula>#REF!="NEI"</formula>
    </cfRule>
  </conditionalFormatting>
  <conditionalFormatting sqref="L22:M22">
    <cfRule type="expression" dxfId="138" priority="554" stopIfTrue="1">
      <formula>#REF!="NEI"</formula>
    </cfRule>
  </conditionalFormatting>
  <conditionalFormatting sqref="E22">
    <cfRule type="expression" dxfId="137" priority="553" stopIfTrue="1">
      <formula>#REF!="NEI"</formula>
    </cfRule>
  </conditionalFormatting>
  <conditionalFormatting sqref="E44">
    <cfRule type="expression" dxfId="136" priority="549" stopIfTrue="1">
      <formula>#REF!="NEI"</formula>
    </cfRule>
  </conditionalFormatting>
  <conditionalFormatting sqref="K44:M44">
    <cfRule type="expression" dxfId="135" priority="550" stopIfTrue="1">
      <formula>#REF!="NEI"</formula>
    </cfRule>
  </conditionalFormatting>
  <conditionalFormatting sqref="E57">
    <cfRule type="expression" dxfId="134" priority="530" stopIfTrue="1">
      <formula>#REF!="NEI"</formula>
    </cfRule>
  </conditionalFormatting>
  <conditionalFormatting sqref="M57">
    <cfRule type="cellIs" dxfId="133" priority="487" operator="greaterThan">
      <formula>0</formula>
    </cfRule>
  </conditionalFormatting>
  <conditionalFormatting sqref="A62:B62">
    <cfRule type="expression" dxfId="132" priority="486">
      <formula>$E$20="Andel"</formula>
    </cfRule>
  </conditionalFormatting>
  <conditionalFormatting sqref="A64:B64">
    <cfRule type="expression" dxfId="131" priority="483">
      <formula>$E$20="Andel"</formula>
    </cfRule>
  </conditionalFormatting>
  <conditionalFormatting sqref="G64">
    <cfRule type="expression" dxfId="130" priority="482" stopIfTrue="1">
      <formula>#REF!="NEI"</formula>
    </cfRule>
  </conditionalFormatting>
  <conditionalFormatting sqref="F14:I14">
    <cfRule type="expression" dxfId="129" priority="473" stopIfTrue="1">
      <formula>#REF!="NEI"</formula>
    </cfRule>
  </conditionalFormatting>
  <conditionalFormatting sqref="F22:I22">
    <cfRule type="expression" dxfId="128" priority="472" stopIfTrue="1">
      <formula>#REF!="NEI"</formula>
    </cfRule>
  </conditionalFormatting>
  <conditionalFormatting sqref="BC41:BF41">
    <cfRule type="expression" dxfId="127" priority="423" stopIfTrue="1">
      <formula>#REF!="NEI"</formula>
    </cfRule>
  </conditionalFormatting>
  <conditionalFormatting sqref="F44:I44">
    <cfRule type="expression" dxfId="126" priority="471" stopIfTrue="1">
      <formula>#REF!="NEI"</formula>
    </cfRule>
  </conditionalFormatting>
  <conditionalFormatting sqref="E36:F36">
    <cfRule type="expression" dxfId="125" priority="463" stopIfTrue="1">
      <formula>#REF!="NEI"</formula>
    </cfRule>
  </conditionalFormatting>
  <conditionalFormatting sqref="A38:A40">
    <cfRule type="expression" dxfId="124" priority="462" stopIfTrue="1">
      <formula>#REF!="NEI"</formula>
    </cfRule>
  </conditionalFormatting>
  <conditionalFormatting sqref="E38:E40">
    <cfRule type="expression" dxfId="123" priority="461" stopIfTrue="1">
      <formula>#REF!="NEI"</formula>
    </cfRule>
  </conditionalFormatting>
  <conditionalFormatting sqref="BC37:BF37">
    <cfRule type="expression" dxfId="122" priority="460" stopIfTrue="1">
      <formula>#REF!="NEI"</formula>
    </cfRule>
  </conditionalFormatting>
  <conditionalFormatting sqref="AL37:AO37">
    <cfRule type="expression" dxfId="121" priority="459" stopIfTrue="1">
      <formula>#REF!="NEI"</formula>
    </cfRule>
  </conditionalFormatting>
  <conditionalFormatting sqref="AW37:AZ37">
    <cfRule type="expression" dxfId="120" priority="458" stopIfTrue="1">
      <formula>#REF!="NEI"</formula>
    </cfRule>
  </conditionalFormatting>
  <conditionalFormatting sqref="BC38:BF40">
    <cfRule type="expression" dxfId="119" priority="455" stopIfTrue="1">
      <formula>#REF!="NEI"</formula>
    </cfRule>
  </conditionalFormatting>
  <conditionalFormatting sqref="M37">
    <cfRule type="expression" dxfId="118" priority="454" stopIfTrue="1">
      <formula>#REF!="NEI"</formula>
    </cfRule>
  </conditionalFormatting>
  <conditionalFormatting sqref="A37:B37 E37">
    <cfRule type="expression" dxfId="117" priority="453" stopIfTrue="1">
      <formula>#REF!="NEI"</formula>
    </cfRule>
  </conditionalFormatting>
  <conditionalFormatting sqref="F37:I37">
    <cfRule type="expression" dxfId="116" priority="450" stopIfTrue="1">
      <formula>#REF!="NEI"</formula>
    </cfRule>
  </conditionalFormatting>
  <conditionalFormatting sqref="AL41:AO41">
    <cfRule type="expression" dxfId="115" priority="425" stopIfTrue="1">
      <formula>#REF!="NEI"</formula>
    </cfRule>
  </conditionalFormatting>
  <conditionalFormatting sqref="E41">
    <cfRule type="expression" dxfId="114" priority="422" stopIfTrue="1">
      <formula>#REF!="NEI"</formula>
    </cfRule>
  </conditionalFormatting>
  <conditionalFormatting sqref="K41:M41">
    <cfRule type="expression" dxfId="113" priority="421" stopIfTrue="1">
      <formula>#REF!="NEI"</formula>
    </cfRule>
  </conditionalFormatting>
  <conditionalFormatting sqref="AQ41:AT41">
    <cfRule type="expression" dxfId="112" priority="426" stopIfTrue="1">
      <formula>#REF!="NEI"</formula>
    </cfRule>
  </conditionalFormatting>
  <conditionalFormatting sqref="AW41:AZ41">
    <cfRule type="expression" dxfId="111" priority="424" stopIfTrue="1">
      <formula>#REF!="NEI"</formula>
    </cfRule>
  </conditionalFormatting>
  <conditionalFormatting sqref="K37:L37">
    <cfRule type="expression" dxfId="110" priority="415" stopIfTrue="1">
      <formula>#REF!="NEI"</formula>
    </cfRule>
  </conditionalFormatting>
  <conditionalFormatting sqref="J37">
    <cfRule type="expression" dxfId="109" priority="414" stopIfTrue="1">
      <formula>#REF!="NEI"</formula>
    </cfRule>
  </conditionalFormatting>
  <conditionalFormatting sqref="D38:D40">
    <cfRule type="expression" dxfId="108" priority="413" stopIfTrue="1">
      <formula>#REF!="NEI"</formula>
    </cfRule>
  </conditionalFormatting>
  <conditionalFormatting sqref="M38">
    <cfRule type="expression" dxfId="107" priority="405" stopIfTrue="1">
      <formula>#REF!="NEI"</formula>
    </cfRule>
  </conditionalFormatting>
  <conditionalFormatting sqref="M39">
    <cfRule type="expression" dxfId="106" priority="404" stopIfTrue="1">
      <formula>#REF!="NEI"</formula>
    </cfRule>
  </conditionalFormatting>
  <conditionalFormatting sqref="M40">
    <cfRule type="expression" dxfId="105" priority="403" stopIfTrue="1">
      <formula>#REF!="NEI"</formula>
    </cfRule>
  </conditionalFormatting>
  <conditionalFormatting sqref="F13">
    <cfRule type="expression" dxfId="104" priority="338" stopIfTrue="1">
      <formula>#REF!="NEI"</formula>
    </cfRule>
  </conditionalFormatting>
  <conditionalFormatting sqref="F21">
    <cfRule type="expression" dxfId="103" priority="337" stopIfTrue="1">
      <formula>#REF!="NEI"</formula>
    </cfRule>
  </conditionalFormatting>
  <conditionalFormatting sqref="F60">
    <cfRule type="expression" dxfId="102" priority="336" stopIfTrue="1">
      <formula>#REF!="NEI"</formula>
    </cfRule>
  </conditionalFormatting>
  <conditionalFormatting sqref="J65">
    <cfRule type="expression" dxfId="101" priority="145" stopIfTrue="1">
      <formula>#REF!="NEI"</formula>
    </cfRule>
  </conditionalFormatting>
  <conditionalFormatting sqref="CA15:CA19">
    <cfRule type="expression" dxfId="100" priority="143" stopIfTrue="1">
      <formula>#REF!="NEI"</formula>
    </cfRule>
  </conditionalFormatting>
  <conditionalFormatting sqref="BW20:BZ20">
    <cfRule type="expression" dxfId="99" priority="141" stopIfTrue="1">
      <formula>#REF!="NEI"</formula>
    </cfRule>
  </conditionalFormatting>
  <conditionalFormatting sqref="BW12:BZ12">
    <cfRule type="expression" dxfId="98" priority="140" stopIfTrue="1">
      <formula>#REF!="NEI"</formula>
    </cfRule>
  </conditionalFormatting>
  <conditionalFormatting sqref="CA38:CA40">
    <cfRule type="expression" dxfId="97" priority="133" stopIfTrue="1">
      <formula>#REF!="NEI"</formula>
    </cfRule>
  </conditionalFormatting>
  <conditionalFormatting sqref="CA4:CA11">
    <cfRule type="expression" dxfId="96" priority="138" stopIfTrue="1">
      <formula>#REF!="NEI"</formula>
    </cfRule>
  </conditionalFormatting>
  <conditionalFormatting sqref="CA12">
    <cfRule type="expression" dxfId="95" priority="137" stopIfTrue="1">
      <formula>#REF!="NEI"</formula>
    </cfRule>
  </conditionalFormatting>
  <conditionalFormatting sqref="CA20">
    <cfRule type="expression" dxfId="94" priority="136" stopIfTrue="1">
      <formula>#REF!="NEI"</formula>
    </cfRule>
  </conditionalFormatting>
  <conditionalFormatting sqref="CA35">
    <cfRule type="expression" dxfId="93" priority="135" stopIfTrue="1">
      <formula>#REF!="NEI"</formula>
    </cfRule>
  </conditionalFormatting>
  <conditionalFormatting sqref="BW4:BZ11">
    <cfRule type="expression" dxfId="92" priority="134" stopIfTrue="1">
      <formula>#REF!="NEI"</formula>
    </cfRule>
  </conditionalFormatting>
  <conditionalFormatting sqref="BW54:BZ54">
    <cfRule type="expression" dxfId="91" priority="121" stopIfTrue="1">
      <formula>#REF!="NEI"</formula>
    </cfRule>
  </conditionalFormatting>
  <conditionalFormatting sqref="BW15:BZ19">
    <cfRule type="expression" dxfId="90" priority="120" stopIfTrue="1">
      <formula>#REF!="NEI"</formula>
    </cfRule>
  </conditionalFormatting>
  <conditionalFormatting sqref="BW38:BZ40">
    <cfRule type="expression" dxfId="89" priority="118" stopIfTrue="1">
      <formula>#REF!="NEI"</formula>
    </cfRule>
  </conditionalFormatting>
  <conditionalFormatting sqref="AP63">
    <cfRule type="expression" dxfId="88" priority="102" stopIfTrue="1">
      <formula>#REF!="NEI"</formula>
    </cfRule>
  </conditionalFormatting>
  <conditionalFormatting sqref="AP64">
    <cfRule type="expression" dxfId="87" priority="101" stopIfTrue="1">
      <formula>#REF!="NEI"</formula>
    </cfRule>
  </conditionalFormatting>
  <conditionalFormatting sqref="A48">
    <cfRule type="expression" dxfId="86" priority="98" stopIfTrue="1">
      <formula>#REF!="NEI"</formula>
    </cfRule>
  </conditionalFormatting>
  <conditionalFormatting sqref="A49:A50">
    <cfRule type="expression" dxfId="85" priority="97" stopIfTrue="1">
      <formula>#REF!="NEI"</formula>
    </cfRule>
  </conditionalFormatting>
  <conditionalFormatting sqref="BW48:BZ48">
    <cfRule type="expression" dxfId="84" priority="94" stopIfTrue="1">
      <formula>#REF!="NEI"</formula>
    </cfRule>
  </conditionalFormatting>
  <conditionalFormatting sqref="BW49:BZ50">
    <cfRule type="expression" dxfId="83" priority="93" stopIfTrue="1">
      <formula>#REF!="NEI"</formula>
    </cfRule>
  </conditionalFormatting>
  <conditionalFormatting sqref="BT15:BT19">
    <cfRule type="expression" dxfId="82" priority="83" stopIfTrue="1">
      <formula>#REF!="NEI"</formula>
    </cfRule>
  </conditionalFormatting>
  <conditionalFormatting sqref="BP20:BS20 C24:C34">
    <cfRule type="expression" dxfId="81" priority="81" stopIfTrue="1">
      <formula>#REF!="NEI"</formula>
    </cfRule>
  </conditionalFormatting>
  <conditionalFormatting sqref="BP12:BS12">
    <cfRule type="expression" dxfId="80" priority="80" stopIfTrue="1">
      <formula>#REF!="NEI"</formula>
    </cfRule>
  </conditionalFormatting>
  <conditionalFormatting sqref="BT38:BT40">
    <cfRule type="expression" dxfId="79" priority="73" stopIfTrue="1">
      <formula>#REF!="NEI"</formula>
    </cfRule>
  </conditionalFormatting>
  <conditionalFormatting sqref="BT4:BT11">
    <cfRule type="expression" dxfId="78" priority="78" stopIfTrue="1">
      <formula>#REF!="NEI"</formula>
    </cfRule>
  </conditionalFormatting>
  <conditionalFormatting sqref="BT12">
    <cfRule type="expression" dxfId="77" priority="77" stopIfTrue="1">
      <formula>#REF!="NEI"</formula>
    </cfRule>
  </conditionalFormatting>
  <conditionalFormatting sqref="BT20">
    <cfRule type="expression" dxfId="76" priority="76" stopIfTrue="1">
      <formula>#REF!="NEI"</formula>
    </cfRule>
  </conditionalFormatting>
  <conditionalFormatting sqref="BT35">
    <cfRule type="expression" dxfId="75" priority="75" stopIfTrue="1">
      <formula>#REF!="NEI"</formula>
    </cfRule>
  </conditionalFormatting>
  <conditionalFormatting sqref="BP4:BS11">
    <cfRule type="expression" dxfId="74" priority="74" stopIfTrue="1">
      <formula>#REF!="NEI"</formula>
    </cfRule>
  </conditionalFormatting>
  <conditionalFormatting sqref="BP15:BS19">
    <cfRule type="expression" dxfId="73" priority="64" stopIfTrue="1">
      <formula>#REF!="NEI"</formula>
    </cfRule>
  </conditionalFormatting>
  <conditionalFormatting sqref="BP38:BS40">
    <cfRule type="expression" dxfId="72" priority="63" stopIfTrue="1">
      <formula>#REF!="NEI"</formula>
    </cfRule>
  </conditionalFormatting>
  <conditionalFormatting sqref="BW35:BZ35">
    <cfRule type="expression" dxfId="71" priority="51" stopIfTrue="1">
      <formula>#REF!="NEI"</formula>
    </cfRule>
  </conditionalFormatting>
  <conditionalFormatting sqref="K14">
    <cfRule type="expression" dxfId="70" priority="40" stopIfTrue="1">
      <formula>#REF!="NEI"</formula>
    </cfRule>
  </conditionalFormatting>
  <conditionalFormatting sqref="K22">
    <cfRule type="expression" dxfId="69" priority="39" stopIfTrue="1">
      <formula>#REF!="NEI"</formula>
    </cfRule>
  </conditionalFormatting>
  <conditionalFormatting sqref="C48:C49">
    <cfRule type="expression" dxfId="68" priority="33" stopIfTrue="1">
      <formula>#REF!="NEI"</formula>
    </cfRule>
  </conditionalFormatting>
  <conditionalFormatting sqref="C48:C50">
    <cfRule type="expression" dxfId="67" priority="32" stopIfTrue="1">
      <formula>#REF!="NEI"</formula>
    </cfRule>
  </conditionalFormatting>
  <conditionalFormatting sqref="C4:C11">
    <cfRule type="expression" dxfId="66" priority="31" stopIfTrue="1">
      <formula>#REF!="NEI"</formula>
    </cfRule>
  </conditionalFormatting>
  <conditionalFormatting sqref="C15:C19">
    <cfRule type="expression" dxfId="65" priority="30" stopIfTrue="1">
      <formula>#REF!="NEI"</formula>
    </cfRule>
  </conditionalFormatting>
  <conditionalFormatting sqref="C38:C40">
    <cfRule type="expression" dxfId="64" priority="29" stopIfTrue="1">
      <formula>#REF!="NEI"</formula>
    </cfRule>
  </conditionalFormatting>
  <conditionalFormatting sqref="C46">
    <cfRule type="expression" dxfId="63" priority="27" stopIfTrue="1">
      <formula>#REF!="NEI"</formula>
    </cfRule>
  </conditionalFormatting>
  <conditionalFormatting sqref="C45">
    <cfRule type="expression" dxfId="62" priority="26" stopIfTrue="1">
      <formula>#REF!="NEI"</formula>
    </cfRule>
  </conditionalFormatting>
  <conditionalFormatting sqref="C47">
    <cfRule type="expression" dxfId="61" priority="25" stopIfTrue="1">
      <formula>#REF!="NEI"</formula>
    </cfRule>
  </conditionalFormatting>
  <conditionalFormatting sqref="C51:C52">
    <cfRule type="expression" dxfId="60" priority="24" stopIfTrue="1">
      <formula>#REF!="NEI"</formula>
    </cfRule>
  </conditionalFormatting>
  <conditionalFormatting sqref="C53">
    <cfRule type="expression" dxfId="59" priority="23" stopIfTrue="1">
      <formula>#REF!="NEI"</formula>
    </cfRule>
  </conditionalFormatting>
  <conditionalFormatting sqref="A66:B66">
    <cfRule type="expression" dxfId="58" priority="19">
      <formula>$D$20="Andel"</formula>
    </cfRule>
  </conditionalFormatting>
  <conditionalFormatting sqref="G65">
    <cfRule type="expression" dxfId="57" priority="18" stopIfTrue="1">
      <formula>#REF!="NEI"</formula>
    </cfRule>
  </conditionalFormatting>
  <conditionalFormatting sqref="G66">
    <cfRule type="expression" dxfId="56" priority="17" stopIfTrue="1">
      <formula>#REF!="NEI"</formula>
    </cfRule>
  </conditionalFormatting>
  <conditionalFormatting sqref="G61">
    <cfRule type="expression" dxfId="55" priority="16" stopIfTrue="1">
      <formula>#REF!="NEI"</formula>
    </cfRule>
  </conditionalFormatting>
  <conditionalFormatting sqref="G62">
    <cfRule type="expression" dxfId="54" priority="14" stopIfTrue="1">
      <formula>#REF!="NEI"</formula>
    </cfRule>
  </conditionalFormatting>
  <conditionalFormatting sqref="F45:I47">
    <cfRule type="expression" dxfId="53" priority="8" stopIfTrue="1">
      <formula>#REF!="NEI"</formula>
    </cfRule>
  </conditionalFormatting>
  <conditionalFormatting sqref="G50:I53">
    <cfRule type="expression" dxfId="52" priority="7" stopIfTrue="1">
      <formula>#REF!="NEI"</formula>
    </cfRule>
  </conditionalFormatting>
  <conditionalFormatting sqref="F50:F53">
    <cfRule type="expression" dxfId="51" priority="6" stopIfTrue="1">
      <formula>#REF!="NEI"</formula>
    </cfRule>
  </conditionalFormatting>
  <conditionalFormatting sqref="B38:B40">
    <cfRule type="expression" dxfId="50" priority="5" stopIfTrue="1">
      <formula>#REF!="NEI"</formula>
    </cfRule>
  </conditionalFormatting>
  <conditionalFormatting sqref="B45:B53">
    <cfRule type="expression" dxfId="49" priority="4" stopIfTrue="1">
      <formula>#REF!="NEI"</formula>
    </cfRule>
  </conditionalFormatting>
  <pageMargins left="0.59055118110236227" right="0.35433070866141736" top="0.53" bottom="0.47" header="0.31" footer="0.26"/>
  <pageSetup paperSize="9" scale="43" orientation="landscape" r:id="rId1"/>
  <headerFooter alignWithMargins="0"/>
  <ignoredErrors>
    <ignoredError sqref="B4:B11"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694" id="{0481A989-A447-4C8B-8713-7967ABB0E91E}">
            <xm:f>Registrering!$C$26="Finansieringsandel"</xm:f>
            <x14:dxf>
              <fill>
                <patternFill>
                  <bgColor theme="0"/>
                </patternFill>
              </fill>
            </x14:dxf>
          </x14:cfRule>
          <xm:sqref>E23:E34</xm:sqref>
        </x14:conditionalFormatting>
        <x14:conditionalFormatting xmlns:xm="http://schemas.microsoft.com/office/excel/2006/main">
          <x14:cfRule type="expression" priority="470" id="{4E0941B0-F7BB-409E-B293-25CB909E0064}">
            <xm:f>Registrering!$C$26="Finansieringsandel"</xm:f>
            <x14:dxf>
              <fill>
                <patternFill>
                  <bgColor theme="0"/>
                </patternFill>
              </fill>
            </x14:dxf>
          </x14:cfRule>
          <xm:sqref>F4:I11</xm:sqref>
        </x14:conditionalFormatting>
        <x14:conditionalFormatting xmlns:xm="http://schemas.microsoft.com/office/excel/2006/main">
          <x14:cfRule type="expression" priority="469" id="{75C3DF41-CF5A-4C27-82B2-DA44030032D1}">
            <xm:f>Registrering!$C$26="Finansieringsandel"</xm:f>
            <x14:dxf>
              <fill>
                <patternFill>
                  <bgColor theme="0"/>
                </patternFill>
              </fill>
            </x14:dxf>
          </x14:cfRule>
          <xm:sqref>F15:I19</xm:sqref>
        </x14:conditionalFormatting>
        <x14:conditionalFormatting xmlns:xm="http://schemas.microsoft.com/office/excel/2006/main">
          <x14:cfRule type="expression" priority="449" id="{0E4CF667-8C88-4F07-AB73-F49E775F5CFC}">
            <xm:f>Registrering!$C$26="Finansieringsandel"</xm:f>
            <x14:dxf>
              <fill>
                <patternFill>
                  <bgColor theme="0"/>
                </patternFill>
              </fill>
            </x14:dxf>
          </x14:cfRule>
          <xm:sqref>F38:I40</xm:sqref>
        </x14:conditionalFormatting>
        <x14:conditionalFormatting xmlns:xm="http://schemas.microsoft.com/office/excel/2006/main">
          <x14:cfRule type="expression" priority="148" id="{71918338-90C7-4A63-804E-A75E5A53CF9B}">
            <xm:f>'\\kant.uio.no\los-ads-u1\EFP\IHR-leveranser - EFP\Søknadsbudsjett\[søknadsbudsjettering_1.3.xlsx]Registrering'!#REF!="Finansieringsandel"</xm:f>
            <x14:dxf>
              <fill>
                <patternFill>
                  <bgColor theme="0"/>
                </patternFill>
              </fill>
            </x14:dxf>
          </x14:cfRule>
          <xm:sqref>H65:I65</xm:sqref>
        </x14:conditionalFormatting>
      </x14:conditionalFormattings>
    </ext>
    <ext xmlns:x14="http://schemas.microsoft.com/office/spreadsheetml/2009/9/main" uri="{CCE6A557-97BC-4b89-ADB6-D9C93CAAB3DF}">
      <x14:dataValidations xmlns:xm="http://schemas.microsoft.com/office/excel/2006/main" xWindow="76" yWindow="359" count="1">
        <x14:dataValidation type="list" allowBlank="1" showInputMessage="1" showErrorMessage="1" prompt="Feltet må fylles inn!">
          <x14:formula1>
            <xm:f>Tabeller!$W$16:$W$23</xm:f>
          </x14:formula1>
          <xm:sqref>A15:A19 A4:A11 A23:A34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O63"/>
  <sheetViews>
    <sheetView showGridLines="0" zoomScale="80" zoomScaleNormal="80" zoomScalePageLayoutView="85" workbookViewId="0">
      <selection activeCell="D61" sqref="D61"/>
    </sheetView>
  </sheetViews>
  <sheetFormatPr defaultColWidth="9.140625" defaultRowHeight="12.75" x14ac:dyDescent="0.2"/>
  <cols>
    <col min="1" max="1" width="31.5703125" style="45" customWidth="1"/>
    <col min="2" max="2" width="12.140625" style="45" customWidth="1"/>
    <col min="3" max="3" width="5.85546875" style="45" customWidth="1"/>
    <col min="4" max="4" width="30" style="45" customWidth="1"/>
    <col min="5" max="5" width="23.5703125" style="45" customWidth="1"/>
    <col min="6" max="6" width="29.5703125" style="45" customWidth="1"/>
    <col min="7" max="7" width="27.42578125" style="45" customWidth="1"/>
    <col min="8" max="8" width="31.42578125" style="45" customWidth="1"/>
    <col min="9" max="9" width="18.140625" style="45" customWidth="1"/>
    <col min="10" max="10" width="18" style="45" customWidth="1"/>
    <col min="11" max="11" width="18.42578125" style="45" customWidth="1"/>
    <col min="12" max="12" width="15.5703125" style="45" customWidth="1"/>
    <col min="13" max="13" width="18.42578125" style="45" customWidth="1"/>
    <col min="14" max="14" width="17.42578125" style="45" customWidth="1"/>
    <col min="15" max="15" width="19.28515625" style="45" customWidth="1"/>
    <col min="16" max="16" width="4" style="45" customWidth="1"/>
    <col min="17" max="17" width="18.7109375" style="45" customWidth="1"/>
    <col min="18" max="21" width="12.85546875" style="45" customWidth="1"/>
    <col min="22" max="22" width="11.7109375" style="45" customWidth="1"/>
    <col min="23" max="23" width="12.28515625" style="45" customWidth="1"/>
    <col min="24" max="24" width="10.85546875" style="45" bestFit="1" customWidth="1"/>
    <col min="25" max="26" width="10.85546875" style="45" customWidth="1"/>
    <col min="27" max="34" width="9.140625" style="45"/>
    <col min="35" max="35" width="11.28515625" style="45" bestFit="1" customWidth="1"/>
    <col min="36" max="16384" width="9.140625" style="45"/>
  </cols>
  <sheetData>
    <row r="1" spans="1:15" ht="18.75" x14ac:dyDescent="0.3">
      <c r="A1" s="46" t="s">
        <v>82</v>
      </c>
      <c r="B1" s="46"/>
      <c r="C1" s="46" t="str">
        <f>IF(Registrering!$C$4="","",Registrering!$C$4)</f>
        <v/>
      </c>
      <c r="D1" s="44"/>
    </row>
    <row r="2" spans="1:15" ht="21" x14ac:dyDescent="0.35">
      <c r="A2" s="55" t="s">
        <v>238</v>
      </c>
      <c r="B2" s="66"/>
      <c r="C2" s="49"/>
      <c r="D2" s="49"/>
      <c r="E2" s="61" t="s">
        <v>66</v>
      </c>
      <c r="I2" s="47" t="s">
        <v>74</v>
      </c>
    </row>
    <row r="3" spans="1:15" ht="15" x14ac:dyDescent="0.25">
      <c r="A3" s="192"/>
      <c r="B3" s="125" t="s">
        <v>172</v>
      </c>
      <c r="C3" s="125"/>
      <c r="D3" s="125" t="s">
        <v>32</v>
      </c>
      <c r="E3" s="126" t="str">
        <f>Budsjett!F3</f>
        <v>Periode 1 (1-18 month)</v>
      </c>
      <c r="F3" s="126" t="str">
        <f>Budsjett!G3</f>
        <v>Periode 2 (19-36 month)</v>
      </c>
      <c r="G3" s="126" t="str">
        <f>Budsjett!H3</f>
        <v>Periode 3 (37-54 month)</v>
      </c>
      <c r="H3" s="126" t="str">
        <f>Budsjett!I3</f>
        <v>Periode 4 (55-60 (72) month)</v>
      </c>
      <c r="I3" s="126" t="e">
        <f t="shared" ref="I3:N3" si="0">H3+1</f>
        <v>#VALUE!</v>
      </c>
      <c r="J3" s="126" t="e">
        <f t="shared" si="0"/>
        <v>#VALUE!</v>
      </c>
      <c r="K3" s="126" t="e">
        <f t="shared" si="0"/>
        <v>#VALUE!</v>
      </c>
      <c r="L3" s="126" t="e">
        <f t="shared" si="0"/>
        <v>#VALUE!</v>
      </c>
      <c r="M3" s="126" t="e">
        <f t="shared" si="0"/>
        <v>#VALUE!</v>
      </c>
      <c r="N3" s="126" t="e">
        <f t="shared" si="0"/>
        <v>#VALUE!</v>
      </c>
      <c r="O3" s="127" t="s">
        <v>61</v>
      </c>
    </row>
    <row r="4" spans="1:15" ht="15" x14ac:dyDescent="0.25">
      <c r="A4" s="193" t="s">
        <v>227</v>
      </c>
      <c r="B4" s="146"/>
      <c r="C4" s="27"/>
      <c r="D4" s="185"/>
      <c r="E4" s="186"/>
      <c r="F4" s="186"/>
      <c r="G4" s="186"/>
      <c r="H4" s="186"/>
      <c r="I4" s="186"/>
      <c r="J4" s="186"/>
      <c r="K4" s="186"/>
      <c r="L4" s="186"/>
      <c r="M4" s="186"/>
      <c r="N4" s="186"/>
      <c r="O4" s="22">
        <f>SUM(E4:N4)</f>
        <v>0</v>
      </c>
    </row>
    <row r="5" spans="1:15" ht="15" x14ac:dyDescent="0.25">
      <c r="A5" s="146" t="s">
        <v>219</v>
      </c>
      <c r="B5" s="146"/>
      <c r="C5" s="27"/>
      <c r="D5" s="66"/>
      <c r="E5" s="60"/>
      <c r="F5" s="60"/>
      <c r="G5" s="60"/>
      <c r="H5" s="60"/>
      <c r="I5" s="60"/>
      <c r="J5" s="60"/>
      <c r="K5" s="60"/>
      <c r="L5" s="60"/>
      <c r="M5" s="60"/>
      <c r="N5" s="60"/>
      <c r="O5" s="22"/>
    </row>
    <row r="6" spans="1:15" ht="15" x14ac:dyDescent="0.25">
      <c r="A6" s="146" t="s">
        <v>202</v>
      </c>
      <c r="B6" s="146"/>
      <c r="C6" s="27"/>
      <c r="D6" s="181"/>
      <c r="E6" s="60"/>
      <c r="F6" s="60"/>
      <c r="G6" s="60"/>
      <c r="H6" s="60"/>
      <c r="I6" s="60"/>
      <c r="J6" s="60"/>
      <c r="K6" s="60"/>
      <c r="L6" s="60"/>
      <c r="M6" s="60"/>
      <c r="N6" s="60"/>
      <c r="O6" s="22"/>
    </row>
    <row r="7" spans="1:15" ht="15" x14ac:dyDescent="0.25">
      <c r="A7" s="24" t="s">
        <v>117</v>
      </c>
      <c r="B7" s="146" t="s">
        <v>6</v>
      </c>
      <c r="C7" s="27"/>
      <c r="D7" s="66"/>
      <c r="E7" s="22">
        <f>E5*E6</f>
        <v>0</v>
      </c>
      <c r="F7" s="22">
        <f t="shared" ref="F7:N7" si="1">F5*F6</f>
        <v>0</v>
      </c>
      <c r="G7" s="22">
        <f t="shared" si="1"/>
        <v>0</v>
      </c>
      <c r="H7" s="22">
        <f t="shared" si="1"/>
        <v>0</v>
      </c>
      <c r="I7" s="22">
        <f t="shared" si="1"/>
        <v>0</v>
      </c>
      <c r="J7" s="22">
        <f t="shared" si="1"/>
        <v>0</v>
      </c>
      <c r="K7" s="22">
        <f t="shared" si="1"/>
        <v>0</v>
      </c>
      <c r="L7" s="22">
        <f t="shared" si="1"/>
        <v>0</v>
      </c>
      <c r="M7" s="22">
        <f t="shared" si="1"/>
        <v>0</v>
      </c>
      <c r="N7" s="22">
        <f t="shared" si="1"/>
        <v>0</v>
      </c>
      <c r="O7" s="22">
        <f>SUM(E7:N7)</f>
        <v>0</v>
      </c>
    </row>
    <row r="8" spans="1:15" ht="15" x14ac:dyDescent="0.25">
      <c r="A8" s="193" t="s">
        <v>228</v>
      </c>
      <c r="B8" s="146"/>
      <c r="C8" s="27"/>
      <c r="D8" s="66"/>
      <c r="E8" s="60"/>
      <c r="F8" s="60"/>
      <c r="G8" s="60"/>
      <c r="H8" s="60"/>
      <c r="I8" s="60"/>
      <c r="J8" s="60"/>
      <c r="K8" s="60"/>
      <c r="L8" s="60"/>
      <c r="M8" s="60"/>
      <c r="N8" s="60"/>
      <c r="O8" s="22"/>
    </row>
    <row r="9" spans="1:15" ht="15" x14ac:dyDescent="0.25">
      <c r="A9" s="146" t="s">
        <v>219</v>
      </c>
      <c r="B9" s="146"/>
      <c r="C9" s="27"/>
      <c r="D9" s="66"/>
      <c r="E9" s="60"/>
      <c r="F9" s="60"/>
      <c r="G9" s="60"/>
      <c r="H9" s="60"/>
      <c r="I9" s="60"/>
      <c r="J9" s="60"/>
      <c r="K9" s="60"/>
      <c r="L9" s="60"/>
      <c r="M9" s="60"/>
      <c r="N9" s="60"/>
      <c r="O9" s="22"/>
    </row>
    <row r="10" spans="1:15" ht="15" x14ac:dyDescent="0.25">
      <c r="A10" s="146" t="s">
        <v>202</v>
      </c>
      <c r="B10" s="146"/>
      <c r="C10" s="27"/>
      <c r="D10" s="66"/>
      <c r="E10" s="60"/>
      <c r="F10" s="60"/>
      <c r="G10" s="60"/>
      <c r="H10" s="60"/>
      <c r="I10" s="60"/>
      <c r="J10" s="60"/>
      <c r="K10" s="60"/>
      <c r="L10" s="60"/>
      <c r="M10" s="60"/>
      <c r="N10" s="60"/>
      <c r="O10" s="22"/>
    </row>
    <row r="11" spans="1:15" ht="15" x14ac:dyDescent="0.25">
      <c r="A11" s="24" t="s">
        <v>117</v>
      </c>
      <c r="B11" s="146" t="s">
        <v>225</v>
      </c>
      <c r="C11" s="27"/>
      <c r="D11" s="66"/>
      <c r="E11" s="188">
        <f>E9*E10</f>
        <v>0</v>
      </c>
      <c r="F11" s="188">
        <f t="shared" ref="F11:N11" si="2">F9*F10</f>
        <v>0</v>
      </c>
      <c r="G11" s="188">
        <f t="shared" si="2"/>
        <v>0</v>
      </c>
      <c r="H11" s="188">
        <f t="shared" si="2"/>
        <v>0</v>
      </c>
      <c r="I11" s="188">
        <f t="shared" si="2"/>
        <v>0</v>
      </c>
      <c r="J11" s="188">
        <f t="shared" si="2"/>
        <v>0</v>
      </c>
      <c r="K11" s="188">
        <f t="shared" si="2"/>
        <v>0</v>
      </c>
      <c r="L11" s="188">
        <f t="shared" si="2"/>
        <v>0</v>
      </c>
      <c r="M11" s="188">
        <f t="shared" si="2"/>
        <v>0</v>
      </c>
      <c r="N11" s="188">
        <f t="shared" si="2"/>
        <v>0</v>
      </c>
      <c r="O11" s="22">
        <f>SUM(E11:N11)</f>
        <v>0</v>
      </c>
    </row>
    <row r="12" spans="1:15" ht="15" x14ac:dyDescent="0.25">
      <c r="A12" s="193" t="s">
        <v>229</v>
      </c>
      <c r="B12" s="146"/>
      <c r="C12" s="27"/>
      <c r="D12" s="66"/>
      <c r="E12" s="60"/>
      <c r="F12" s="60"/>
      <c r="G12" s="60"/>
      <c r="H12" s="60"/>
      <c r="I12" s="60"/>
      <c r="J12" s="60"/>
      <c r="K12" s="60"/>
      <c r="L12" s="60"/>
      <c r="M12" s="60"/>
      <c r="N12" s="60"/>
      <c r="O12" s="22"/>
    </row>
    <row r="13" spans="1:15" ht="15" x14ac:dyDescent="0.25">
      <c r="A13" s="146" t="s">
        <v>219</v>
      </c>
      <c r="B13" s="146"/>
      <c r="C13" s="27"/>
      <c r="D13" s="66"/>
      <c r="E13" s="60"/>
      <c r="F13" s="60"/>
      <c r="G13" s="60"/>
      <c r="H13" s="60"/>
      <c r="I13" s="60"/>
      <c r="J13" s="60"/>
      <c r="K13" s="60"/>
      <c r="L13" s="60"/>
      <c r="M13" s="60"/>
      <c r="N13" s="60"/>
      <c r="O13" s="22"/>
    </row>
    <row r="14" spans="1:15" ht="15" x14ac:dyDescent="0.25">
      <c r="A14" s="146" t="s">
        <v>202</v>
      </c>
      <c r="B14" s="146"/>
      <c r="C14" s="27"/>
      <c r="D14" s="66"/>
      <c r="E14" s="60"/>
      <c r="F14" s="60"/>
      <c r="G14" s="60"/>
      <c r="H14" s="60"/>
      <c r="I14" s="60"/>
      <c r="J14" s="60"/>
      <c r="K14" s="60"/>
      <c r="L14" s="60"/>
      <c r="M14" s="60"/>
      <c r="N14" s="60"/>
      <c r="O14" s="22"/>
    </row>
    <row r="15" spans="1:15" ht="15" x14ac:dyDescent="0.25">
      <c r="A15" s="24" t="s">
        <v>117</v>
      </c>
      <c r="B15" s="146" t="s">
        <v>6</v>
      </c>
      <c r="C15" s="27"/>
      <c r="D15" s="66"/>
      <c r="E15" s="188">
        <f>E13*E14</f>
        <v>0</v>
      </c>
      <c r="F15" s="188">
        <f t="shared" ref="F15:N15" si="3">F13*F14</f>
        <v>0</v>
      </c>
      <c r="G15" s="188">
        <f t="shared" si="3"/>
        <v>0</v>
      </c>
      <c r="H15" s="188">
        <f t="shared" si="3"/>
        <v>0</v>
      </c>
      <c r="I15" s="188">
        <f t="shared" si="3"/>
        <v>0</v>
      </c>
      <c r="J15" s="188">
        <f t="shared" si="3"/>
        <v>0</v>
      </c>
      <c r="K15" s="188">
        <f t="shared" si="3"/>
        <v>0</v>
      </c>
      <c r="L15" s="188">
        <f t="shared" si="3"/>
        <v>0</v>
      </c>
      <c r="M15" s="188">
        <f t="shared" si="3"/>
        <v>0</v>
      </c>
      <c r="N15" s="188">
        <f t="shared" si="3"/>
        <v>0</v>
      </c>
      <c r="O15" s="22">
        <f>SUM(E15:N15)</f>
        <v>0</v>
      </c>
    </row>
    <row r="16" spans="1:15" ht="15" x14ac:dyDescent="0.25">
      <c r="A16" s="193" t="s">
        <v>239</v>
      </c>
      <c r="B16" s="146"/>
      <c r="C16" s="27"/>
      <c r="D16" s="66"/>
      <c r="E16" s="60"/>
      <c r="F16" s="60"/>
      <c r="G16" s="60"/>
      <c r="H16" s="60"/>
      <c r="I16" s="60"/>
      <c r="J16" s="60"/>
      <c r="K16" s="60"/>
      <c r="L16" s="60"/>
      <c r="M16" s="60"/>
      <c r="N16" s="60"/>
      <c r="O16" s="22"/>
    </row>
    <row r="17" spans="1:15" ht="15" x14ac:dyDescent="0.25">
      <c r="A17" s="146" t="s">
        <v>219</v>
      </c>
      <c r="B17" s="146"/>
      <c r="C17" s="27"/>
      <c r="D17" s="66"/>
      <c r="E17" s="60"/>
      <c r="F17" s="60"/>
      <c r="G17" s="60"/>
      <c r="H17" s="60"/>
      <c r="I17" s="60"/>
      <c r="J17" s="60"/>
      <c r="K17" s="60"/>
      <c r="L17" s="60"/>
      <c r="M17" s="60"/>
      <c r="N17" s="60"/>
      <c r="O17" s="22"/>
    </row>
    <row r="18" spans="1:15" ht="15" x14ac:dyDescent="0.25">
      <c r="A18" s="146" t="s">
        <v>202</v>
      </c>
      <c r="B18" s="146"/>
      <c r="C18" s="27"/>
      <c r="D18" s="66"/>
      <c r="E18" s="60"/>
      <c r="F18" s="60"/>
      <c r="G18" s="60"/>
      <c r="H18" s="60"/>
      <c r="I18" s="60"/>
      <c r="J18" s="60"/>
      <c r="K18" s="60"/>
      <c r="L18" s="60"/>
      <c r="M18" s="60"/>
      <c r="N18" s="60"/>
      <c r="O18" s="22"/>
    </row>
    <row r="19" spans="1:15" ht="15" x14ac:dyDescent="0.25">
      <c r="A19" s="24" t="s">
        <v>117</v>
      </c>
      <c r="B19" s="146" t="s">
        <v>6</v>
      </c>
      <c r="C19" s="27"/>
      <c r="D19" s="66"/>
      <c r="E19" s="188">
        <f>E17*E18</f>
        <v>0</v>
      </c>
      <c r="F19" s="188">
        <f t="shared" ref="F19:N19" si="4">F17*F18</f>
        <v>0</v>
      </c>
      <c r="G19" s="188">
        <f t="shared" si="4"/>
        <v>0</v>
      </c>
      <c r="H19" s="188">
        <f t="shared" si="4"/>
        <v>0</v>
      </c>
      <c r="I19" s="188">
        <f t="shared" si="4"/>
        <v>0</v>
      </c>
      <c r="J19" s="188">
        <f t="shared" si="4"/>
        <v>0</v>
      </c>
      <c r="K19" s="188">
        <f t="shared" si="4"/>
        <v>0</v>
      </c>
      <c r="L19" s="188">
        <f t="shared" si="4"/>
        <v>0</v>
      </c>
      <c r="M19" s="188">
        <f t="shared" si="4"/>
        <v>0</v>
      </c>
      <c r="N19" s="188">
        <f t="shared" si="4"/>
        <v>0</v>
      </c>
      <c r="O19" s="22">
        <f>SUM(E19:N19)</f>
        <v>0</v>
      </c>
    </row>
    <row r="20" spans="1:15" ht="15" x14ac:dyDescent="0.25">
      <c r="A20" s="193" t="s">
        <v>240</v>
      </c>
      <c r="B20" s="146"/>
      <c r="C20" s="27"/>
      <c r="D20" s="66"/>
      <c r="E20" s="60"/>
      <c r="F20" s="60"/>
      <c r="G20" s="60"/>
      <c r="H20" s="60"/>
      <c r="I20" s="60"/>
      <c r="J20" s="60"/>
      <c r="K20" s="60"/>
      <c r="L20" s="60"/>
      <c r="M20" s="60"/>
      <c r="N20" s="60"/>
      <c r="O20" s="22"/>
    </row>
    <row r="21" spans="1:15" ht="15" x14ac:dyDescent="0.25">
      <c r="A21" s="146" t="s">
        <v>219</v>
      </c>
      <c r="B21" s="146"/>
      <c r="C21" s="27"/>
      <c r="D21" s="66"/>
      <c r="E21" s="60"/>
      <c r="F21" s="60"/>
      <c r="G21" s="60"/>
      <c r="H21" s="60"/>
      <c r="I21" s="60"/>
      <c r="J21" s="60"/>
      <c r="K21" s="60"/>
      <c r="L21" s="60"/>
      <c r="M21" s="60"/>
      <c r="N21" s="60"/>
      <c r="O21" s="22"/>
    </row>
    <row r="22" spans="1:15" ht="15" x14ac:dyDescent="0.25">
      <c r="A22" s="146" t="s">
        <v>202</v>
      </c>
      <c r="B22" s="146"/>
      <c r="C22" s="27"/>
      <c r="D22" s="66"/>
      <c r="E22" s="60"/>
      <c r="F22" s="60"/>
      <c r="G22" s="60"/>
      <c r="H22" s="60"/>
      <c r="I22" s="60"/>
      <c r="J22" s="60"/>
      <c r="K22" s="60"/>
      <c r="L22" s="60"/>
      <c r="M22" s="60"/>
      <c r="N22" s="60"/>
      <c r="O22" s="22"/>
    </row>
    <row r="23" spans="1:15" ht="15" x14ac:dyDescent="0.25">
      <c r="A23" s="24" t="s">
        <v>117</v>
      </c>
      <c r="B23" s="146" t="s">
        <v>6</v>
      </c>
      <c r="C23" s="27"/>
      <c r="D23" s="66"/>
      <c r="E23" s="188">
        <f>E21*E22</f>
        <v>0</v>
      </c>
      <c r="F23" s="188">
        <f t="shared" ref="F23:N23" si="5">F21*F22</f>
        <v>0</v>
      </c>
      <c r="G23" s="188">
        <f t="shared" si="5"/>
        <v>0</v>
      </c>
      <c r="H23" s="188">
        <f t="shared" si="5"/>
        <v>0</v>
      </c>
      <c r="I23" s="188">
        <f t="shared" si="5"/>
        <v>0</v>
      </c>
      <c r="J23" s="188">
        <f t="shared" si="5"/>
        <v>0</v>
      </c>
      <c r="K23" s="188">
        <f t="shared" si="5"/>
        <v>0</v>
      </c>
      <c r="L23" s="188">
        <f t="shared" si="5"/>
        <v>0</v>
      </c>
      <c r="M23" s="188">
        <f t="shared" si="5"/>
        <v>0</v>
      </c>
      <c r="N23" s="188">
        <f t="shared" si="5"/>
        <v>0</v>
      </c>
      <c r="O23" s="22">
        <f>SUM(E23:N23)</f>
        <v>0</v>
      </c>
    </row>
    <row r="24" spans="1:15" ht="15" x14ac:dyDescent="0.25">
      <c r="A24" s="193" t="s">
        <v>241</v>
      </c>
      <c r="B24" s="146"/>
      <c r="C24" s="27"/>
      <c r="D24" s="66"/>
      <c r="E24" s="60"/>
      <c r="F24" s="60"/>
      <c r="G24" s="60"/>
      <c r="H24" s="60"/>
      <c r="I24" s="60"/>
      <c r="J24" s="60"/>
      <c r="K24" s="60"/>
      <c r="L24" s="60"/>
      <c r="M24" s="60"/>
      <c r="N24" s="60"/>
      <c r="O24" s="22"/>
    </row>
    <row r="25" spans="1:15" ht="15" x14ac:dyDescent="0.25">
      <c r="A25" s="146" t="s">
        <v>219</v>
      </c>
      <c r="B25" s="146"/>
      <c r="C25" s="27"/>
      <c r="D25" s="66"/>
      <c r="E25" s="60"/>
      <c r="F25" s="60"/>
      <c r="G25" s="60"/>
      <c r="H25" s="60"/>
      <c r="I25" s="60"/>
      <c r="J25" s="60"/>
      <c r="K25" s="60"/>
      <c r="L25" s="60"/>
      <c r="M25" s="60"/>
      <c r="N25" s="60"/>
      <c r="O25" s="22"/>
    </row>
    <row r="26" spans="1:15" ht="15" x14ac:dyDescent="0.25">
      <c r="A26" s="146" t="s">
        <v>202</v>
      </c>
      <c r="B26" s="146"/>
      <c r="C26" s="27"/>
      <c r="D26" s="66"/>
      <c r="E26" s="60"/>
      <c r="F26" s="60"/>
      <c r="G26" s="60"/>
      <c r="H26" s="60"/>
      <c r="I26" s="60"/>
      <c r="J26" s="60"/>
      <c r="K26" s="60"/>
      <c r="L26" s="60"/>
      <c r="M26" s="60"/>
      <c r="N26" s="60"/>
      <c r="O26" s="22"/>
    </row>
    <row r="27" spans="1:15" ht="15" x14ac:dyDescent="0.25">
      <c r="A27" s="24" t="s">
        <v>117</v>
      </c>
      <c r="B27" s="146" t="s">
        <v>6</v>
      </c>
      <c r="C27" s="27"/>
      <c r="D27" s="66"/>
      <c r="E27" s="188">
        <f>E25*E26</f>
        <v>0</v>
      </c>
      <c r="F27" s="188">
        <f t="shared" ref="F27:N27" si="6">F25*F26</f>
        <v>0</v>
      </c>
      <c r="G27" s="188">
        <f t="shared" si="6"/>
        <v>0</v>
      </c>
      <c r="H27" s="188">
        <f t="shared" si="6"/>
        <v>0</v>
      </c>
      <c r="I27" s="188">
        <f t="shared" si="6"/>
        <v>0</v>
      </c>
      <c r="J27" s="188">
        <f t="shared" si="6"/>
        <v>0</v>
      </c>
      <c r="K27" s="188">
        <f t="shared" si="6"/>
        <v>0</v>
      </c>
      <c r="L27" s="188">
        <f t="shared" si="6"/>
        <v>0</v>
      </c>
      <c r="M27" s="188">
        <f t="shared" si="6"/>
        <v>0</v>
      </c>
      <c r="N27" s="188">
        <f t="shared" si="6"/>
        <v>0</v>
      </c>
      <c r="O27" s="22">
        <f>SUM(E27:N27)</f>
        <v>0</v>
      </c>
    </row>
    <row r="28" spans="1:15" ht="15" x14ac:dyDescent="0.25">
      <c r="A28" s="193" t="s">
        <v>242</v>
      </c>
      <c r="B28" s="146"/>
      <c r="C28" s="27"/>
      <c r="D28" s="66"/>
      <c r="E28" s="60"/>
      <c r="F28" s="60"/>
      <c r="G28" s="60"/>
      <c r="H28" s="60"/>
      <c r="I28" s="60"/>
      <c r="J28" s="60"/>
      <c r="K28" s="60"/>
      <c r="L28" s="60"/>
      <c r="M28" s="60"/>
      <c r="N28" s="60"/>
      <c r="O28" s="22"/>
    </row>
    <row r="29" spans="1:15" ht="15" x14ac:dyDescent="0.25">
      <c r="A29" s="187" t="s">
        <v>219</v>
      </c>
      <c r="B29" s="146"/>
      <c r="C29" s="27"/>
      <c r="D29" s="66"/>
      <c r="E29" s="60"/>
      <c r="F29" s="60"/>
      <c r="G29" s="60"/>
      <c r="H29" s="60"/>
      <c r="I29" s="60"/>
      <c r="J29" s="60"/>
      <c r="K29" s="60"/>
      <c r="L29" s="60"/>
      <c r="M29" s="60"/>
      <c r="N29" s="60"/>
      <c r="O29" s="22"/>
    </row>
    <row r="30" spans="1:15" ht="15" x14ac:dyDescent="0.25">
      <c r="A30" s="146" t="s">
        <v>202</v>
      </c>
      <c r="B30" s="146"/>
      <c r="C30" s="27"/>
      <c r="D30" s="66"/>
      <c r="E30" s="60"/>
      <c r="F30" s="60"/>
      <c r="G30" s="60"/>
      <c r="H30" s="60"/>
      <c r="I30" s="60"/>
      <c r="J30" s="60"/>
      <c r="K30" s="60"/>
      <c r="L30" s="60"/>
      <c r="M30" s="60"/>
      <c r="N30" s="60"/>
      <c r="O30" s="22"/>
    </row>
    <row r="31" spans="1:15" ht="15" x14ac:dyDescent="0.25">
      <c r="A31" s="24" t="s">
        <v>117</v>
      </c>
      <c r="B31" s="146" t="s">
        <v>6</v>
      </c>
      <c r="C31" s="27"/>
      <c r="D31" s="66"/>
      <c r="E31" s="188">
        <f>E29*E30</f>
        <v>0</v>
      </c>
      <c r="F31" s="188">
        <f t="shared" ref="F31:N31" si="7">F29*F30</f>
        <v>0</v>
      </c>
      <c r="G31" s="188">
        <f t="shared" si="7"/>
        <v>0</v>
      </c>
      <c r="H31" s="188">
        <f t="shared" si="7"/>
        <v>0</v>
      </c>
      <c r="I31" s="188">
        <f t="shared" si="7"/>
        <v>0</v>
      </c>
      <c r="J31" s="188">
        <f t="shared" si="7"/>
        <v>0</v>
      </c>
      <c r="K31" s="188">
        <f t="shared" si="7"/>
        <v>0</v>
      </c>
      <c r="L31" s="188">
        <f t="shared" si="7"/>
        <v>0</v>
      </c>
      <c r="M31" s="188">
        <f t="shared" si="7"/>
        <v>0</v>
      </c>
      <c r="N31" s="188">
        <f t="shared" si="7"/>
        <v>0</v>
      </c>
      <c r="O31" s="22">
        <f>SUM(E31:N31)</f>
        <v>0</v>
      </c>
    </row>
    <row r="32" spans="1:15" ht="15" x14ac:dyDescent="0.25">
      <c r="A32" s="193" t="s">
        <v>243</v>
      </c>
      <c r="B32" s="146"/>
      <c r="C32" s="27"/>
      <c r="D32" s="66"/>
      <c r="E32" s="60"/>
      <c r="F32" s="60"/>
      <c r="G32" s="60"/>
      <c r="H32" s="60"/>
      <c r="I32" s="60"/>
      <c r="J32" s="60"/>
      <c r="K32" s="60"/>
      <c r="L32" s="60"/>
      <c r="M32" s="60"/>
      <c r="N32" s="60"/>
      <c r="O32" s="22"/>
    </row>
    <row r="33" spans="1:15" ht="15" x14ac:dyDescent="0.25">
      <c r="A33" s="187" t="s">
        <v>219</v>
      </c>
      <c r="B33" s="146"/>
      <c r="C33" s="27"/>
      <c r="D33" s="66"/>
      <c r="E33" s="60"/>
      <c r="F33" s="60"/>
      <c r="G33" s="60"/>
      <c r="H33" s="60"/>
      <c r="I33" s="60"/>
      <c r="J33" s="60"/>
      <c r="K33" s="60"/>
      <c r="L33" s="60"/>
      <c r="M33" s="60"/>
      <c r="N33" s="60"/>
      <c r="O33" s="22"/>
    </row>
    <row r="34" spans="1:15" ht="15" x14ac:dyDescent="0.25">
      <c r="A34" s="146" t="s">
        <v>202</v>
      </c>
      <c r="B34" s="146"/>
      <c r="C34" s="27"/>
      <c r="D34" s="66"/>
      <c r="E34" s="60"/>
      <c r="F34" s="60"/>
      <c r="G34" s="60"/>
      <c r="H34" s="60"/>
      <c r="I34" s="60"/>
      <c r="J34" s="60"/>
      <c r="K34" s="60"/>
      <c r="L34" s="60"/>
      <c r="M34" s="60"/>
      <c r="N34" s="60"/>
      <c r="O34" s="22"/>
    </row>
    <row r="35" spans="1:15" ht="15" x14ac:dyDescent="0.25">
      <c r="A35" s="24" t="s">
        <v>117</v>
      </c>
      <c r="B35" s="146" t="s">
        <v>6</v>
      </c>
      <c r="C35" s="27"/>
      <c r="D35" s="66"/>
      <c r="E35" s="188">
        <f>E33*E34</f>
        <v>0</v>
      </c>
      <c r="F35" s="188">
        <f t="shared" ref="F35:N35" si="8">F33*F34</f>
        <v>0</v>
      </c>
      <c r="G35" s="188">
        <f t="shared" si="8"/>
        <v>0</v>
      </c>
      <c r="H35" s="188">
        <f t="shared" si="8"/>
        <v>0</v>
      </c>
      <c r="I35" s="188">
        <f t="shared" si="8"/>
        <v>0</v>
      </c>
      <c r="J35" s="188">
        <f t="shared" si="8"/>
        <v>0</v>
      </c>
      <c r="K35" s="188">
        <f t="shared" si="8"/>
        <v>0</v>
      </c>
      <c r="L35" s="188">
        <f t="shared" si="8"/>
        <v>0</v>
      </c>
      <c r="M35" s="188">
        <f t="shared" si="8"/>
        <v>0</v>
      </c>
      <c r="N35" s="188">
        <f t="shared" si="8"/>
        <v>0</v>
      </c>
      <c r="O35" s="22">
        <f>SUM(E35:N35)</f>
        <v>0</v>
      </c>
    </row>
    <row r="36" spans="1:15" ht="15" x14ac:dyDescent="0.25">
      <c r="A36" s="193" t="s">
        <v>244</v>
      </c>
      <c r="B36" s="146"/>
      <c r="C36" s="27"/>
      <c r="D36" s="66"/>
      <c r="E36" s="60"/>
      <c r="F36" s="60"/>
      <c r="G36" s="60"/>
      <c r="H36" s="60"/>
      <c r="I36" s="60"/>
      <c r="J36" s="60"/>
      <c r="K36" s="60"/>
      <c r="L36" s="60"/>
      <c r="M36" s="60"/>
      <c r="N36" s="60"/>
      <c r="O36" s="22"/>
    </row>
    <row r="37" spans="1:15" ht="15" x14ac:dyDescent="0.25">
      <c r="A37" s="187" t="s">
        <v>219</v>
      </c>
      <c r="B37" s="146"/>
      <c r="C37" s="27"/>
      <c r="D37" s="66"/>
      <c r="E37" s="60"/>
      <c r="F37" s="60"/>
      <c r="G37" s="60"/>
      <c r="H37" s="60"/>
      <c r="I37" s="60"/>
      <c r="J37" s="60"/>
      <c r="K37" s="60"/>
      <c r="L37" s="60"/>
      <c r="M37" s="60"/>
      <c r="N37" s="60"/>
      <c r="O37" s="22"/>
    </row>
    <row r="38" spans="1:15" ht="15" x14ac:dyDescent="0.25">
      <c r="A38" s="146" t="s">
        <v>202</v>
      </c>
      <c r="B38" s="146"/>
      <c r="C38" s="27"/>
      <c r="D38" s="66"/>
      <c r="E38" s="60"/>
      <c r="F38" s="60"/>
      <c r="G38" s="60"/>
      <c r="H38" s="60"/>
      <c r="I38" s="60"/>
      <c r="J38" s="60"/>
      <c r="K38" s="60"/>
      <c r="L38" s="60"/>
      <c r="M38" s="60"/>
      <c r="N38" s="60"/>
      <c r="O38" s="22"/>
    </row>
    <row r="39" spans="1:15" ht="15" x14ac:dyDescent="0.25">
      <c r="A39" s="24" t="s">
        <v>117</v>
      </c>
      <c r="B39" s="146" t="s">
        <v>6</v>
      </c>
      <c r="C39" s="27"/>
      <c r="D39" s="66"/>
      <c r="E39" s="188">
        <f>E37*E38</f>
        <v>0</v>
      </c>
      <c r="F39" s="188">
        <f t="shared" ref="F39:N39" si="9">F37*F38</f>
        <v>0</v>
      </c>
      <c r="G39" s="188">
        <f t="shared" si="9"/>
        <v>0</v>
      </c>
      <c r="H39" s="188">
        <f t="shared" si="9"/>
        <v>0</v>
      </c>
      <c r="I39" s="188">
        <f t="shared" si="9"/>
        <v>0</v>
      </c>
      <c r="J39" s="188">
        <f t="shared" si="9"/>
        <v>0</v>
      </c>
      <c r="K39" s="188">
        <f t="shared" si="9"/>
        <v>0</v>
      </c>
      <c r="L39" s="188">
        <f t="shared" si="9"/>
        <v>0</v>
      </c>
      <c r="M39" s="188">
        <f t="shared" si="9"/>
        <v>0</v>
      </c>
      <c r="N39" s="188">
        <f t="shared" si="9"/>
        <v>0</v>
      </c>
      <c r="O39" s="22">
        <f>SUM(E39:N39)</f>
        <v>0</v>
      </c>
    </row>
    <row r="40" spans="1:15" ht="15" x14ac:dyDescent="0.25">
      <c r="A40" s="193" t="s">
        <v>245</v>
      </c>
      <c r="B40" s="146"/>
      <c r="C40" s="27"/>
      <c r="D40" s="66"/>
      <c r="E40" s="60"/>
      <c r="F40" s="60"/>
      <c r="G40" s="60"/>
      <c r="H40" s="60"/>
      <c r="I40" s="60"/>
      <c r="J40" s="60"/>
      <c r="K40" s="60"/>
      <c r="L40" s="60"/>
      <c r="M40" s="60"/>
      <c r="N40" s="60"/>
      <c r="O40" s="22"/>
    </row>
    <row r="41" spans="1:15" ht="15" x14ac:dyDescent="0.25">
      <c r="A41" s="187" t="s">
        <v>219</v>
      </c>
      <c r="B41" s="146"/>
      <c r="C41" s="27"/>
      <c r="D41" s="66"/>
      <c r="E41" s="60"/>
      <c r="F41" s="60"/>
      <c r="G41" s="60"/>
      <c r="H41" s="60"/>
      <c r="I41" s="60"/>
      <c r="J41" s="60"/>
      <c r="K41" s="60"/>
      <c r="L41" s="60"/>
      <c r="M41" s="60"/>
      <c r="N41" s="60"/>
      <c r="O41" s="22"/>
    </row>
    <row r="42" spans="1:15" ht="15" x14ac:dyDescent="0.25">
      <c r="A42" s="146" t="s">
        <v>202</v>
      </c>
      <c r="B42" s="146"/>
      <c r="C42" s="27"/>
      <c r="D42" s="66"/>
      <c r="E42" s="60"/>
      <c r="F42" s="60"/>
      <c r="G42" s="60"/>
      <c r="H42" s="60"/>
      <c r="I42" s="60"/>
      <c r="J42" s="60"/>
      <c r="K42" s="60"/>
      <c r="L42" s="60"/>
      <c r="M42" s="60"/>
      <c r="N42" s="60"/>
      <c r="O42" s="22"/>
    </row>
    <row r="43" spans="1:15" ht="15" x14ac:dyDescent="0.25">
      <c r="A43" s="24" t="s">
        <v>117</v>
      </c>
      <c r="B43" s="146" t="s">
        <v>6</v>
      </c>
      <c r="C43" s="27"/>
      <c r="D43" s="66"/>
      <c r="E43" s="188">
        <f>E41*E42</f>
        <v>0</v>
      </c>
      <c r="F43" s="188">
        <f t="shared" ref="F43:N43" si="10">F41*F42</f>
        <v>0</v>
      </c>
      <c r="G43" s="188">
        <f t="shared" si="10"/>
        <v>0</v>
      </c>
      <c r="H43" s="188">
        <f t="shared" si="10"/>
        <v>0</v>
      </c>
      <c r="I43" s="188">
        <f t="shared" si="10"/>
        <v>0</v>
      </c>
      <c r="J43" s="188">
        <f t="shared" si="10"/>
        <v>0</v>
      </c>
      <c r="K43" s="188">
        <f t="shared" si="10"/>
        <v>0</v>
      </c>
      <c r="L43" s="188">
        <f t="shared" si="10"/>
        <v>0</v>
      </c>
      <c r="M43" s="188">
        <f t="shared" si="10"/>
        <v>0</v>
      </c>
      <c r="N43" s="188">
        <f t="shared" si="10"/>
        <v>0</v>
      </c>
      <c r="O43" s="22">
        <f>SUM(E43:N43)</f>
        <v>0</v>
      </c>
    </row>
    <row r="44" spans="1:15" ht="15" x14ac:dyDescent="0.25">
      <c r="A44" s="193" t="s">
        <v>246</v>
      </c>
      <c r="B44" s="146"/>
      <c r="C44" s="27"/>
      <c r="D44" s="66"/>
      <c r="E44" s="60"/>
      <c r="F44" s="60"/>
      <c r="G44" s="60"/>
      <c r="H44" s="60"/>
      <c r="I44" s="60"/>
      <c r="J44" s="60"/>
      <c r="K44" s="60"/>
      <c r="L44" s="60"/>
      <c r="M44" s="60"/>
      <c r="N44" s="60"/>
      <c r="O44" s="22"/>
    </row>
    <row r="45" spans="1:15" ht="15" x14ac:dyDescent="0.25">
      <c r="A45" s="146" t="s">
        <v>219</v>
      </c>
      <c r="B45" s="146"/>
      <c r="C45" s="27"/>
      <c r="D45" s="66"/>
      <c r="E45" s="60"/>
      <c r="F45" s="60"/>
      <c r="G45" s="60"/>
      <c r="H45" s="60"/>
      <c r="I45" s="60"/>
      <c r="J45" s="60"/>
      <c r="K45" s="60"/>
      <c r="L45" s="60"/>
      <c r="M45" s="60"/>
      <c r="N45" s="60"/>
      <c r="O45" s="22"/>
    </row>
    <row r="46" spans="1:15" ht="15" x14ac:dyDescent="0.25">
      <c r="A46" s="146" t="s">
        <v>202</v>
      </c>
      <c r="B46" s="146"/>
      <c r="C46" s="27"/>
      <c r="D46" s="66"/>
      <c r="E46" s="60"/>
      <c r="F46" s="60"/>
      <c r="G46" s="60"/>
      <c r="H46" s="60"/>
      <c r="I46" s="60"/>
      <c r="J46" s="60"/>
      <c r="K46" s="60"/>
      <c r="L46" s="60"/>
      <c r="M46" s="60"/>
      <c r="N46" s="60"/>
      <c r="O46" s="22"/>
    </row>
    <row r="47" spans="1:15" ht="15" x14ac:dyDescent="0.25">
      <c r="A47" s="24" t="s">
        <v>117</v>
      </c>
      <c r="B47" s="146" t="s">
        <v>6</v>
      </c>
      <c r="C47" s="27"/>
      <c r="D47" s="66"/>
      <c r="E47" s="188">
        <f>E45*E46</f>
        <v>0</v>
      </c>
      <c r="F47" s="188">
        <f t="shared" ref="F47:N47" si="11">F45*F46</f>
        <v>0</v>
      </c>
      <c r="G47" s="188">
        <f t="shared" si="11"/>
        <v>0</v>
      </c>
      <c r="H47" s="188">
        <f t="shared" si="11"/>
        <v>0</v>
      </c>
      <c r="I47" s="188">
        <f t="shared" si="11"/>
        <v>0</v>
      </c>
      <c r="J47" s="188">
        <f t="shared" si="11"/>
        <v>0</v>
      </c>
      <c r="K47" s="188">
        <f t="shared" si="11"/>
        <v>0</v>
      </c>
      <c r="L47" s="188">
        <f t="shared" si="11"/>
        <v>0</v>
      </c>
      <c r="M47" s="188">
        <f t="shared" si="11"/>
        <v>0</v>
      </c>
      <c r="N47" s="188">
        <f t="shared" si="11"/>
        <v>0</v>
      </c>
      <c r="O47" s="22">
        <f>SUM(E47:N47)</f>
        <v>0</v>
      </c>
    </row>
    <row r="48" spans="1:15" ht="15" x14ac:dyDescent="0.25">
      <c r="A48" s="193" t="s">
        <v>247</v>
      </c>
      <c r="B48" s="146"/>
      <c r="C48" s="27"/>
      <c r="D48" s="66"/>
      <c r="E48" s="60"/>
      <c r="F48" s="60"/>
      <c r="G48" s="60"/>
      <c r="H48" s="60"/>
      <c r="I48" s="60"/>
      <c r="J48" s="60"/>
      <c r="K48" s="60"/>
      <c r="L48" s="60"/>
      <c r="M48" s="60"/>
      <c r="N48" s="60"/>
      <c r="O48" s="22"/>
    </row>
    <row r="49" spans="1:15" ht="15" x14ac:dyDescent="0.25">
      <c r="A49" s="146" t="s">
        <v>219</v>
      </c>
      <c r="B49" s="146"/>
      <c r="C49" s="27"/>
      <c r="D49" s="66"/>
      <c r="E49" s="60"/>
      <c r="F49" s="60"/>
      <c r="G49" s="60"/>
      <c r="H49" s="60"/>
      <c r="I49" s="60"/>
      <c r="J49" s="60"/>
      <c r="K49" s="60"/>
      <c r="L49" s="60"/>
      <c r="M49" s="60"/>
      <c r="N49" s="60"/>
      <c r="O49" s="22"/>
    </row>
    <row r="50" spans="1:15" ht="15" x14ac:dyDescent="0.25">
      <c r="A50" s="146" t="s">
        <v>202</v>
      </c>
      <c r="B50" s="146"/>
      <c r="C50" s="27"/>
      <c r="D50" s="66"/>
      <c r="E50" s="60"/>
      <c r="F50" s="60"/>
      <c r="G50" s="60"/>
      <c r="H50" s="60"/>
      <c r="I50" s="60"/>
      <c r="J50" s="60"/>
      <c r="K50" s="60"/>
      <c r="L50" s="60"/>
      <c r="M50" s="60"/>
      <c r="N50" s="60"/>
      <c r="O50" s="22"/>
    </row>
    <row r="51" spans="1:15" ht="15" x14ac:dyDescent="0.25">
      <c r="A51" s="24" t="s">
        <v>117</v>
      </c>
      <c r="B51" s="146" t="s">
        <v>6</v>
      </c>
      <c r="C51" s="27"/>
      <c r="D51" s="66"/>
      <c r="E51" s="188">
        <f>E49*E50</f>
        <v>0</v>
      </c>
      <c r="F51" s="188">
        <f t="shared" ref="F51:N51" si="12">F49*F50</f>
        <v>0</v>
      </c>
      <c r="G51" s="188">
        <f t="shared" si="12"/>
        <v>0</v>
      </c>
      <c r="H51" s="188">
        <f t="shared" si="12"/>
        <v>0</v>
      </c>
      <c r="I51" s="188">
        <f t="shared" si="12"/>
        <v>0</v>
      </c>
      <c r="J51" s="188">
        <f t="shared" si="12"/>
        <v>0</v>
      </c>
      <c r="K51" s="188">
        <f t="shared" si="12"/>
        <v>0</v>
      </c>
      <c r="L51" s="188">
        <f t="shared" si="12"/>
        <v>0</v>
      </c>
      <c r="M51" s="188">
        <f t="shared" si="12"/>
        <v>0</v>
      </c>
      <c r="N51" s="188">
        <f t="shared" si="12"/>
        <v>0</v>
      </c>
      <c r="O51" s="22">
        <f>SUM(E51:N51)</f>
        <v>0</v>
      </c>
    </row>
    <row r="52" spans="1:15" ht="15" x14ac:dyDescent="0.25">
      <c r="A52" s="193" t="s">
        <v>248</v>
      </c>
      <c r="B52" s="146"/>
      <c r="C52" s="27"/>
      <c r="D52" s="66"/>
      <c r="E52" s="60"/>
      <c r="F52" s="60"/>
      <c r="G52" s="60"/>
      <c r="H52" s="60"/>
      <c r="I52" s="60"/>
      <c r="J52" s="60"/>
      <c r="K52" s="60"/>
      <c r="L52" s="60"/>
      <c r="M52" s="60"/>
      <c r="N52" s="60"/>
      <c r="O52" s="22"/>
    </row>
    <row r="53" spans="1:15" ht="15" x14ac:dyDescent="0.25">
      <c r="A53" s="146" t="s">
        <v>219</v>
      </c>
      <c r="B53" s="146"/>
      <c r="C53" s="27"/>
      <c r="D53" s="66"/>
      <c r="E53" s="60"/>
      <c r="F53" s="60"/>
      <c r="G53" s="60"/>
      <c r="H53" s="60"/>
      <c r="I53" s="60"/>
      <c r="J53" s="60"/>
      <c r="K53" s="60"/>
      <c r="L53" s="60"/>
      <c r="M53" s="60"/>
      <c r="N53" s="60"/>
      <c r="O53" s="22"/>
    </row>
    <row r="54" spans="1:15" ht="15" x14ac:dyDescent="0.25">
      <c r="A54" s="146" t="s">
        <v>202</v>
      </c>
      <c r="B54" s="146"/>
      <c r="C54" s="27"/>
      <c r="D54" s="66"/>
      <c r="E54" s="60"/>
      <c r="F54" s="60"/>
      <c r="G54" s="60"/>
      <c r="H54" s="60"/>
      <c r="I54" s="60"/>
      <c r="J54" s="60"/>
      <c r="K54" s="60"/>
      <c r="L54" s="60"/>
      <c r="M54" s="60"/>
      <c r="N54" s="60"/>
      <c r="O54" s="22"/>
    </row>
    <row r="55" spans="1:15" ht="15" x14ac:dyDescent="0.25">
      <c r="A55" s="24" t="s">
        <v>117</v>
      </c>
      <c r="B55" s="146" t="s">
        <v>6</v>
      </c>
      <c r="C55" s="27"/>
      <c r="D55" s="66"/>
      <c r="E55" s="188">
        <f>E53*E54</f>
        <v>0</v>
      </c>
      <c r="F55" s="188">
        <f t="shared" ref="F55:N55" si="13">F53*F54</f>
        <v>0</v>
      </c>
      <c r="G55" s="188">
        <f t="shared" si="13"/>
        <v>0</v>
      </c>
      <c r="H55" s="188">
        <f t="shared" si="13"/>
        <v>0</v>
      </c>
      <c r="I55" s="188">
        <f t="shared" si="13"/>
        <v>0</v>
      </c>
      <c r="J55" s="188">
        <f t="shared" si="13"/>
        <v>0</v>
      </c>
      <c r="K55" s="188">
        <f t="shared" si="13"/>
        <v>0</v>
      </c>
      <c r="L55" s="188">
        <f t="shared" si="13"/>
        <v>0</v>
      </c>
      <c r="M55" s="188">
        <f t="shared" si="13"/>
        <v>0</v>
      </c>
      <c r="N55" s="188">
        <f t="shared" si="13"/>
        <v>0</v>
      </c>
      <c r="O55" s="22">
        <f>SUM(E55:N55)</f>
        <v>0</v>
      </c>
    </row>
    <row r="56" spans="1:15" ht="15" x14ac:dyDescent="0.25">
      <c r="A56" s="193" t="s">
        <v>249</v>
      </c>
      <c r="B56" s="146"/>
      <c r="C56" s="27"/>
      <c r="D56" s="66"/>
      <c r="E56" s="60"/>
      <c r="F56" s="60"/>
      <c r="G56" s="60"/>
      <c r="H56" s="60"/>
      <c r="I56" s="60"/>
      <c r="J56" s="60"/>
      <c r="K56" s="60"/>
      <c r="L56" s="60"/>
      <c r="M56" s="60"/>
      <c r="N56" s="60"/>
      <c r="O56" s="22"/>
    </row>
    <row r="57" spans="1:15" ht="15" x14ac:dyDescent="0.25">
      <c r="A57" s="146" t="s">
        <v>219</v>
      </c>
      <c r="B57" s="146"/>
      <c r="C57" s="27"/>
      <c r="D57" s="66"/>
      <c r="E57" s="60"/>
      <c r="F57" s="60"/>
      <c r="G57" s="60"/>
      <c r="H57" s="60"/>
      <c r="I57" s="60"/>
      <c r="J57" s="60"/>
      <c r="K57" s="60"/>
      <c r="L57" s="60"/>
      <c r="M57" s="60"/>
      <c r="N57" s="60"/>
      <c r="O57" s="22"/>
    </row>
    <row r="58" spans="1:15" ht="15" x14ac:dyDescent="0.25">
      <c r="A58" s="146" t="s">
        <v>202</v>
      </c>
      <c r="B58" s="146"/>
      <c r="C58" s="27"/>
      <c r="D58" s="66"/>
      <c r="E58" s="60"/>
      <c r="F58" s="60"/>
      <c r="G58" s="60"/>
      <c r="H58" s="60"/>
      <c r="I58" s="60"/>
      <c r="J58" s="60"/>
      <c r="K58" s="60"/>
      <c r="L58" s="60"/>
      <c r="M58" s="60"/>
      <c r="N58" s="60"/>
      <c r="O58" s="22"/>
    </row>
    <row r="59" spans="1:15" ht="15" x14ac:dyDescent="0.25">
      <c r="A59" s="24" t="s">
        <v>117</v>
      </c>
      <c r="B59" s="146" t="s">
        <v>6</v>
      </c>
      <c r="C59" s="27"/>
      <c r="D59" s="66"/>
      <c r="E59" s="188">
        <f>E57*E58</f>
        <v>0</v>
      </c>
      <c r="F59" s="188">
        <f t="shared" ref="F59:N59" si="14">F57*F58</f>
        <v>0</v>
      </c>
      <c r="G59" s="188">
        <f t="shared" si="14"/>
        <v>0</v>
      </c>
      <c r="H59" s="188">
        <f t="shared" si="14"/>
        <v>0</v>
      </c>
      <c r="I59" s="188">
        <f t="shared" si="14"/>
        <v>0</v>
      </c>
      <c r="J59" s="188">
        <f t="shared" si="14"/>
        <v>0</v>
      </c>
      <c r="K59" s="188">
        <f t="shared" si="14"/>
        <v>0</v>
      </c>
      <c r="L59" s="188">
        <f t="shared" si="14"/>
        <v>0</v>
      </c>
      <c r="M59" s="188">
        <f t="shared" si="14"/>
        <v>0</v>
      </c>
      <c r="N59" s="188">
        <f t="shared" si="14"/>
        <v>0</v>
      </c>
      <c r="O59" s="22">
        <f>SUM(E59:N59)</f>
        <v>0</v>
      </c>
    </row>
    <row r="60" spans="1:15" ht="15" x14ac:dyDescent="0.25">
      <c r="A60" s="193" t="s">
        <v>250</v>
      </c>
      <c r="B60" s="146"/>
      <c r="C60" s="27"/>
      <c r="D60" s="66"/>
      <c r="E60" s="60"/>
      <c r="F60" s="60"/>
      <c r="G60" s="60"/>
      <c r="H60" s="60"/>
      <c r="I60" s="60"/>
      <c r="J60" s="60"/>
      <c r="K60" s="60"/>
      <c r="L60" s="60"/>
      <c r="M60" s="60"/>
      <c r="N60" s="60"/>
      <c r="O60" s="22"/>
    </row>
    <row r="61" spans="1:15" ht="15" x14ac:dyDescent="0.25">
      <c r="A61" s="146" t="s">
        <v>219</v>
      </c>
      <c r="B61" s="146"/>
      <c r="C61" s="27"/>
      <c r="D61" s="66"/>
      <c r="E61" s="60"/>
      <c r="F61" s="60"/>
      <c r="G61" s="60"/>
      <c r="H61" s="60"/>
      <c r="I61" s="60"/>
      <c r="J61" s="60"/>
      <c r="K61" s="60"/>
      <c r="L61" s="60"/>
      <c r="M61" s="60"/>
      <c r="N61" s="60"/>
      <c r="O61" s="22"/>
    </row>
    <row r="62" spans="1:15" ht="15" x14ac:dyDescent="0.25">
      <c r="A62" s="146" t="s">
        <v>202</v>
      </c>
      <c r="B62" s="146"/>
      <c r="C62" s="27"/>
      <c r="D62" s="66"/>
      <c r="E62" s="60"/>
      <c r="F62" s="60"/>
      <c r="G62" s="60"/>
      <c r="H62" s="60"/>
      <c r="I62" s="60"/>
      <c r="J62" s="60"/>
      <c r="K62" s="60"/>
      <c r="L62" s="60"/>
      <c r="M62" s="60"/>
      <c r="N62" s="60"/>
      <c r="O62" s="22"/>
    </row>
    <row r="63" spans="1:15" ht="15" x14ac:dyDescent="0.25">
      <c r="A63" s="24" t="s">
        <v>117</v>
      </c>
      <c r="B63" s="146" t="s">
        <v>6</v>
      </c>
      <c r="C63" s="27"/>
      <c r="D63" s="66"/>
      <c r="E63" s="188">
        <f>E61*E62</f>
        <v>0</v>
      </c>
      <c r="F63" s="188">
        <f t="shared" ref="F63:N63" si="15">F61*F62</f>
        <v>0</v>
      </c>
      <c r="G63" s="188">
        <f t="shared" si="15"/>
        <v>0</v>
      </c>
      <c r="H63" s="188">
        <f t="shared" si="15"/>
        <v>0</v>
      </c>
      <c r="I63" s="188">
        <f t="shared" si="15"/>
        <v>0</v>
      </c>
      <c r="J63" s="188">
        <f t="shared" si="15"/>
        <v>0</v>
      </c>
      <c r="K63" s="188">
        <f t="shared" si="15"/>
        <v>0</v>
      </c>
      <c r="L63" s="188">
        <f t="shared" si="15"/>
        <v>0</v>
      </c>
      <c r="M63" s="188">
        <f t="shared" si="15"/>
        <v>0</v>
      </c>
      <c r="N63" s="188">
        <f t="shared" si="15"/>
        <v>0</v>
      </c>
      <c r="O63" s="22">
        <f>SUM(E63:N63)</f>
        <v>0</v>
      </c>
    </row>
  </sheetData>
  <sheetProtection password="FF04" sheet="1" objects="1" scenarios="1"/>
  <dataConsolidate/>
  <conditionalFormatting sqref="D1">
    <cfRule type="expression" dxfId="43" priority="441" stopIfTrue="1">
      <formula>#REF!="NEI"</formula>
    </cfRule>
  </conditionalFormatting>
  <conditionalFormatting sqref="A4 C4:C63 A7:A8 A12 A16 A20 A24 A28 A32 A36 A40">
    <cfRule type="expression" dxfId="42" priority="440" stopIfTrue="1">
      <formula>#REF!="NEI"</formula>
    </cfRule>
  </conditionalFormatting>
  <conditionalFormatting sqref="D7:D63 A3:C3 D4:F4 O3:O63 A2 C2 B4:B63 E5:N6">
    <cfRule type="expression" dxfId="41" priority="438" stopIfTrue="1">
      <formula>#REF!="NEI"</formula>
    </cfRule>
  </conditionalFormatting>
  <conditionalFormatting sqref="D2 H4:N4">
    <cfRule type="expression" dxfId="40" priority="432" stopIfTrue="1">
      <formula>#REF!="NEI"</formula>
    </cfRule>
  </conditionalFormatting>
  <conditionalFormatting sqref="E2">
    <cfRule type="expression" dxfId="39" priority="431" stopIfTrue="1">
      <formula>#REF!="NEI"</formula>
    </cfRule>
  </conditionalFormatting>
  <conditionalFormatting sqref="E4:E6 F5:N6">
    <cfRule type="expression" dxfId="38" priority="372" stopIfTrue="1">
      <formula>#REF!="NEI"</formula>
    </cfRule>
  </conditionalFormatting>
  <conditionalFormatting sqref="D3">
    <cfRule type="expression" dxfId="37" priority="335" stopIfTrue="1">
      <formula>#REF!="NEI"</formula>
    </cfRule>
  </conditionalFormatting>
  <conditionalFormatting sqref="E3:N3">
    <cfRule type="expression" dxfId="36" priority="307" stopIfTrue="1">
      <formula>#REF!="NEI"</formula>
    </cfRule>
  </conditionalFormatting>
  <conditionalFormatting sqref="D6">
    <cfRule type="expression" dxfId="35" priority="122" stopIfTrue="1">
      <formula>#REF!="NEI"</formula>
    </cfRule>
  </conditionalFormatting>
  <conditionalFormatting sqref="E8:F8">
    <cfRule type="expression" dxfId="34" priority="89" stopIfTrue="1">
      <formula>#REF!="NEI"</formula>
    </cfRule>
  </conditionalFormatting>
  <conditionalFormatting sqref="J8:N8">
    <cfRule type="expression" dxfId="33" priority="88" stopIfTrue="1">
      <formula>#REF!="NEI"</formula>
    </cfRule>
  </conditionalFormatting>
  <conditionalFormatting sqref="A5">
    <cfRule type="expression" dxfId="32" priority="125" stopIfTrue="1">
      <formula>#REF!="NEI"</formula>
    </cfRule>
  </conditionalFormatting>
  <conditionalFormatting sqref="A6">
    <cfRule type="expression" dxfId="31" priority="124" stopIfTrue="1">
      <formula>#REF!="NEI"</formula>
    </cfRule>
  </conditionalFormatting>
  <conditionalFormatting sqref="D5">
    <cfRule type="expression" dxfId="30" priority="123" stopIfTrue="1">
      <formula>#REF!="NEI"</formula>
    </cfRule>
  </conditionalFormatting>
  <conditionalFormatting sqref="E9:E63 F13:N14 F17:N18 F21:N22 F25:N26 F29:N30 F33:N34 F37:N38 F41:N42 F45:N46 F49:N50 F53:N54 F57:N58 F61:N62 F9:N10">
    <cfRule type="expression" dxfId="29" priority="38" stopIfTrue="1">
      <formula>#REF!="NEI"</formula>
    </cfRule>
  </conditionalFormatting>
  <conditionalFormatting sqref="A42 A38 A30 A26 A22 A18 A14 A10">
    <cfRule type="expression" dxfId="28" priority="11" stopIfTrue="1">
      <formula>#REF!="NEI"</formula>
    </cfRule>
  </conditionalFormatting>
  <conditionalFormatting sqref="E8">
    <cfRule type="expression" dxfId="27" priority="87" stopIfTrue="1">
      <formula>#REF!="NEI"</formula>
    </cfRule>
  </conditionalFormatting>
  <conditionalFormatting sqref="J11:N12 J15:N16 J19:N20 J23:N24 J27:N28 J31:N32 J35:N36 J39:N40 J43:N44 J47:N48 J51:N52 J55:N56 J59:N60 J63:N63">
    <cfRule type="expression" dxfId="26" priority="39" stopIfTrue="1">
      <formula>#REF!="NEI"</formula>
    </cfRule>
  </conditionalFormatting>
  <conditionalFormatting sqref="E11:F12 E15:F16 E13:N14 E19:F20 E17:N18 E23:F24 E21:N22 E27:F28 E25:N26 E31:F32 E29:N30 E35:F36 E33:N34 E39:F40 E37:N38 E43:F44 E41:N42 E47:F48 E45:N46 E51:F52 E49:N50 E55:F56 E53:N54 E59:F60 E57:N58 E63:F63 E61:N62 E9:N10">
    <cfRule type="expression" dxfId="25" priority="40" stopIfTrue="1">
      <formula>#REF!="NEI"</formula>
    </cfRule>
  </conditionalFormatting>
  <conditionalFormatting sqref="A34">
    <cfRule type="expression" dxfId="24" priority="8" stopIfTrue="1">
      <formula>#REF!="NEI"</formula>
    </cfRule>
  </conditionalFormatting>
  <conditionalFormatting sqref="A33">
    <cfRule type="expression" dxfId="23" priority="9" stopIfTrue="1">
      <formula>#REF!="NEI"</formula>
    </cfRule>
  </conditionalFormatting>
  <conditionalFormatting sqref="A35">
    <cfRule type="expression" dxfId="22" priority="10" stopIfTrue="1">
      <formula>#REF!="NEI"</formula>
    </cfRule>
  </conditionalFormatting>
  <conditionalFormatting sqref="A43 A39 A31 A27 A23 A19 A15 A11">
    <cfRule type="expression" dxfId="21" priority="13" stopIfTrue="1">
      <formula>#REF!="NEI"</formula>
    </cfRule>
  </conditionalFormatting>
  <conditionalFormatting sqref="A41 A37 A25 A21 A17 A13 A9 A29">
    <cfRule type="expression" dxfId="20" priority="12" stopIfTrue="1">
      <formula>#REF!="NEI"</formula>
    </cfRule>
  </conditionalFormatting>
  <conditionalFormatting sqref="A44 A47:A48 A52 A56 A60">
    <cfRule type="expression" dxfId="19" priority="7" stopIfTrue="1">
      <formula>#REF!="NEI"</formula>
    </cfRule>
  </conditionalFormatting>
  <conditionalFormatting sqref="A45">
    <cfRule type="expression" dxfId="18" priority="6" stopIfTrue="1">
      <formula>#REF!="NEI"</formula>
    </cfRule>
  </conditionalFormatting>
  <conditionalFormatting sqref="A46">
    <cfRule type="expression" dxfId="17" priority="5" stopIfTrue="1">
      <formula>#REF!="NEI"</formula>
    </cfRule>
  </conditionalFormatting>
  <conditionalFormatting sqref="A62 A58 A54 A50">
    <cfRule type="expression" dxfId="16" priority="2" stopIfTrue="1">
      <formula>#REF!="NEI"</formula>
    </cfRule>
  </conditionalFormatting>
  <conditionalFormatting sqref="A63 A59 A55 A51">
    <cfRule type="expression" dxfId="15" priority="4" stopIfTrue="1">
      <formula>#REF!="NEI"</formula>
    </cfRule>
  </conditionalFormatting>
  <conditionalFormatting sqref="A61 A57 A53 A49">
    <cfRule type="expression" dxfId="14" priority="3" stopIfTrue="1">
      <formula>#REF!="NEI"</formula>
    </cfRule>
  </conditionalFormatting>
  <conditionalFormatting sqref="B2">
    <cfRule type="expression" dxfId="13" priority="1" stopIfTrue="1">
      <formula>#REF!="NEI"</formula>
    </cfRule>
  </conditionalFormatting>
  <pageMargins left="0.59055118110236227" right="0.35433070866141736" top="0.53" bottom="0.47" header="0.31" footer="0.26"/>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Tabeller!$G$42:$G$47</xm:f>
          </x14:formula1>
          <xm:sqref>B4:B6 B8:B10 B12:B14 B16:B18 B20:B22 B24:B26 B28:B30 B32:B34 B36:B38 B40:B42 B44:B46 B48:B50 B52:B54 B56:B58 B60:B62</xm:sqref>
        </x14:dataValidation>
        <x14:dataValidation type="list" allowBlank="1" showInputMessage="1" showErrorMessage="1">
          <x14:formula1>
            <xm:f>Tabeller!$H$42:$H$43</xm:f>
          </x14:formula1>
          <xm:sqref>B63 B11 B15 B31 B23 B39 B19 B27 B35 B43 B47 B55 B51 B59 B7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B1:O36"/>
  <sheetViews>
    <sheetView showGridLines="0" topLeftCell="A3" zoomScaleNormal="100" workbookViewId="0">
      <selection activeCell="H51" sqref="H51"/>
    </sheetView>
  </sheetViews>
  <sheetFormatPr defaultColWidth="9.140625" defaultRowHeight="15" x14ac:dyDescent="0.25"/>
  <cols>
    <col min="1" max="1" width="0.85546875" style="42" customWidth="1"/>
    <col min="2" max="2" width="30.85546875" style="42" customWidth="1"/>
    <col min="3" max="5" width="13.140625" style="42" customWidth="1"/>
    <col min="6" max="6" width="18.7109375" style="42" customWidth="1"/>
    <col min="7" max="12" width="13.140625" style="42" customWidth="1"/>
    <col min="13" max="13" width="14" style="42" bestFit="1" customWidth="1"/>
    <col min="14" max="14" width="9.140625" style="42"/>
    <col min="15" max="15" width="9.7109375" style="42" bestFit="1" customWidth="1"/>
    <col min="16" max="16" width="10.28515625" style="42" bestFit="1" customWidth="1"/>
    <col min="17" max="17" width="9.140625" style="42"/>
    <col min="18" max="18" width="10.28515625" style="42" bestFit="1" customWidth="1"/>
    <col min="19" max="16384" width="9.140625" style="42"/>
  </cols>
  <sheetData>
    <row r="1" spans="2:12" ht="15.75" x14ac:dyDescent="0.25">
      <c r="B1" s="229" t="s">
        <v>285</v>
      </c>
    </row>
    <row r="3" spans="2:12" s="94" customFormat="1" x14ac:dyDescent="0.25">
      <c r="B3" s="120" t="s">
        <v>82</v>
      </c>
      <c r="C3" s="121" t="str">
        <f>IF(Registrering!$C$4="","",Registrering!$C$4)</f>
        <v/>
      </c>
      <c r="D3" s="101"/>
      <c r="F3" s="102"/>
      <c r="G3" s="122" t="s">
        <v>85</v>
      </c>
      <c r="H3" s="99" t="str">
        <f>IF(Registrering!$C$18="","na",Registrering!$C$18)</f>
        <v>na</v>
      </c>
      <c r="J3" s="161" t="s">
        <v>182</v>
      </c>
    </row>
    <row r="4" spans="2:12" s="94" customFormat="1" x14ac:dyDescent="0.25">
      <c r="B4" s="119" t="s">
        <v>83</v>
      </c>
      <c r="C4" s="97" t="str">
        <f>IF(Registrering!C8="","na",Registrering!C8)</f>
        <v>na</v>
      </c>
      <c r="D4" s="101"/>
      <c r="F4" s="102"/>
      <c r="G4" s="122" t="s">
        <v>86</v>
      </c>
      <c r="H4" s="99" t="str">
        <f>IF(Registrering!$C$19="","na",Registrering!$C$19)</f>
        <v>na</v>
      </c>
      <c r="J4" s="330" t="str">
        <f>IF(Registrering!C16="","",Registrering!C16)</f>
        <v/>
      </c>
    </row>
    <row r="5" spans="2:12" s="94" customFormat="1" x14ac:dyDescent="0.25">
      <c r="B5" s="119" t="s">
        <v>84</v>
      </c>
      <c r="C5" s="98" t="str">
        <f>IF(Registrering!$C$9="","na",Registrering!$C$9)</f>
        <v>na</v>
      </c>
      <c r="D5" s="101"/>
      <c r="E5" s="104"/>
      <c r="F5" s="96"/>
      <c r="G5" s="123" t="s">
        <v>99</v>
      </c>
      <c r="H5" s="105" t="str">
        <f>Registrering!C27</f>
        <v>Prosjekter som foregår i UiOs lokaler</v>
      </c>
    </row>
    <row r="6" spans="2:12" s="94" customFormat="1" x14ac:dyDescent="0.25">
      <c r="B6" s="119" t="s">
        <v>87</v>
      </c>
      <c r="C6" s="101" t="str">
        <f>Registrering!C24</f>
        <v>651000 - 651998 EU  Horizon 2020</v>
      </c>
      <c r="D6" s="101"/>
      <c r="E6" s="104"/>
      <c r="F6" s="287" t="s">
        <v>100</v>
      </c>
      <c r="H6" s="105" t="str">
        <f>Registrering!C26</f>
        <v>Fast beløp</v>
      </c>
      <c r="I6" s="105" t="str">
        <f>Registrering!C25</f>
        <v>Kostnadsspesifikk</v>
      </c>
    </row>
    <row r="7" spans="2:12" s="94" customFormat="1" x14ac:dyDescent="0.25">
      <c r="I7" s="96"/>
    </row>
    <row r="8" spans="2:12" x14ac:dyDescent="0.25">
      <c r="B8" s="59"/>
      <c r="C8" s="81"/>
      <c r="E8" s="59"/>
      <c r="K8" s="59"/>
    </row>
    <row r="9" spans="2:12" ht="30" x14ac:dyDescent="0.25">
      <c r="B9" s="118" t="s">
        <v>116</v>
      </c>
      <c r="C9" s="29" t="str">
        <f>Budsjett!F3</f>
        <v>Periode 1 (1-18 month)</v>
      </c>
      <c r="D9" s="29" t="str">
        <f>Budsjett!G3</f>
        <v>Periode 2 (19-36 month)</v>
      </c>
      <c r="E9" s="29" t="str">
        <f>Budsjett!H3</f>
        <v>Periode 3 (37-54 month)</v>
      </c>
      <c r="F9" s="29" t="str">
        <f>Budsjett!I3</f>
        <v>Periode 4 (55-60 (72) month)</v>
      </c>
      <c r="G9" s="29" t="s">
        <v>76</v>
      </c>
    </row>
    <row r="10" spans="2:12" x14ac:dyDescent="0.25">
      <c r="B10" s="57" t="s">
        <v>49</v>
      </c>
      <c r="C10" s="35">
        <f>Budsjett!F56</f>
        <v>0</v>
      </c>
      <c r="D10" s="35">
        <f>Budsjett!G56</f>
        <v>0</v>
      </c>
      <c r="E10" s="35">
        <f>Budsjett!H56</f>
        <v>0</v>
      </c>
      <c r="F10" s="35">
        <f>Budsjett!I56</f>
        <v>0</v>
      </c>
      <c r="G10" s="34">
        <f t="shared" ref="G10:G23" si="0">SUM(C10:F10)</f>
        <v>0</v>
      </c>
    </row>
    <row r="11" spans="2:12" x14ac:dyDescent="0.25">
      <c r="B11" s="133" t="s">
        <v>152</v>
      </c>
      <c r="C11" s="35">
        <f>Budsjett!F52</f>
        <v>0</v>
      </c>
      <c r="D11" s="35">
        <f>Budsjett!G52</f>
        <v>0</v>
      </c>
      <c r="E11" s="35">
        <f>Budsjett!H52</f>
        <v>0</v>
      </c>
      <c r="F11" s="35">
        <f>Budsjett!I52</f>
        <v>0</v>
      </c>
      <c r="G11" s="34">
        <f t="shared" si="0"/>
        <v>0</v>
      </c>
    </row>
    <row r="12" spans="2:12" x14ac:dyDescent="0.25">
      <c r="B12" s="57" t="s">
        <v>6</v>
      </c>
      <c r="C12" s="35">
        <f>Budsjett!F57</f>
        <v>0</v>
      </c>
      <c r="D12" s="35">
        <f>Budsjett!G57</f>
        <v>0</v>
      </c>
      <c r="E12" s="35">
        <f>Budsjett!H57</f>
        <v>0</v>
      </c>
      <c r="F12" s="35">
        <f>Budsjett!I57</f>
        <v>0</v>
      </c>
      <c r="G12" s="34">
        <f t="shared" si="0"/>
        <v>0</v>
      </c>
    </row>
    <row r="13" spans="2:12" x14ac:dyDescent="0.25">
      <c r="B13" s="31" t="s">
        <v>123</v>
      </c>
      <c r="C13" s="32">
        <f>SUM(C10:C12)</f>
        <v>0</v>
      </c>
      <c r="D13" s="32">
        <f>SUM(D10:D12)</f>
        <v>0</v>
      </c>
      <c r="E13" s="32">
        <f>SUM(E10:E12)</f>
        <v>0</v>
      </c>
      <c r="F13" s="32">
        <f>SUM(F10:F12)</f>
        <v>0</v>
      </c>
      <c r="G13" s="32">
        <f t="shared" si="0"/>
        <v>0</v>
      </c>
    </row>
    <row r="14" spans="2:12" x14ac:dyDescent="0.25">
      <c r="B14" s="57" t="s">
        <v>51</v>
      </c>
      <c r="C14" s="35">
        <f>Budsjett!AL12+Budsjett!AL41</f>
        <v>0</v>
      </c>
      <c r="D14" s="35">
        <f>Budsjett!AM12+Budsjett!AM41</f>
        <v>0</v>
      </c>
      <c r="E14" s="35">
        <f>Budsjett!AN12+Budsjett!AN41</f>
        <v>0</v>
      </c>
      <c r="F14" s="35">
        <f>Budsjett!AO12+Budsjett!AO41</f>
        <v>0</v>
      </c>
      <c r="G14" s="34">
        <f t="shared" si="0"/>
        <v>0</v>
      </c>
    </row>
    <row r="15" spans="2:12" x14ac:dyDescent="0.25">
      <c r="B15" s="57" t="s">
        <v>52</v>
      </c>
      <c r="C15" s="35">
        <f>Budsjett!AL20</f>
        <v>0</v>
      </c>
      <c r="D15" s="35">
        <f>Budsjett!AM20</f>
        <v>0</v>
      </c>
      <c r="E15" s="35">
        <f>Budsjett!AN20</f>
        <v>0</v>
      </c>
      <c r="F15" s="35">
        <f>Budsjett!AO20</f>
        <v>0</v>
      </c>
      <c r="G15" s="34">
        <f t="shared" si="0"/>
        <v>0</v>
      </c>
      <c r="J15" s="194"/>
      <c r="L15" s="194"/>
    </row>
    <row r="16" spans="2:12" x14ac:dyDescent="0.25">
      <c r="B16" s="57" t="s">
        <v>55</v>
      </c>
      <c r="C16" s="35">
        <f>Budsjett!AL35</f>
        <v>0</v>
      </c>
      <c r="D16" s="35">
        <f>Budsjett!AM35</f>
        <v>0</v>
      </c>
      <c r="E16" s="35">
        <f>Budsjett!AN35</f>
        <v>0</v>
      </c>
      <c r="F16" s="35">
        <f>Budsjett!AO35</f>
        <v>0</v>
      </c>
      <c r="G16" s="34">
        <f t="shared" si="0"/>
        <v>0</v>
      </c>
      <c r="J16" s="107"/>
      <c r="L16" s="107"/>
    </row>
    <row r="17" spans="2:15" x14ac:dyDescent="0.25">
      <c r="B17" s="57" t="s">
        <v>54</v>
      </c>
      <c r="C17" s="35">
        <f>Budsjett!AW42</f>
        <v>0</v>
      </c>
      <c r="D17" s="35">
        <f>Budsjett!AX42</f>
        <v>0</v>
      </c>
      <c r="E17" s="35">
        <f>Budsjett!AY42</f>
        <v>0</v>
      </c>
      <c r="F17" s="35">
        <f>Budsjett!AZ42</f>
        <v>0</v>
      </c>
      <c r="G17" s="34">
        <f t="shared" si="0"/>
        <v>0</v>
      </c>
    </row>
    <row r="18" spans="2:15" x14ac:dyDescent="0.25">
      <c r="B18" s="57" t="s">
        <v>56</v>
      </c>
      <c r="C18" s="35">
        <f>Budsjett!BC42</f>
        <v>0</v>
      </c>
      <c r="D18" s="35">
        <f>Budsjett!BD42</f>
        <v>0</v>
      </c>
      <c r="E18" s="35">
        <f>Budsjett!BE42</f>
        <v>0</v>
      </c>
      <c r="F18" s="35">
        <f>Budsjett!BF42</f>
        <v>0</v>
      </c>
      <c r="G18" s="34">
        <f t="shared" si="0"/>
        <v>0</v>
      </c>
    </row>
    <row r="19" spans="2:15" x14ac:dyDescent="0.25">
      <c r="B19" s="115" t="s">
        <v>122</v>
      </c>
      <c r="C19" s="35">
        <f>Budsjett!F53</f>
        <v>0</v>
      </c>
      <c r="D19" s="35">
        <f>Budsjett!G53</f>
        <v>0</v>
      </c>
      <c r="E19" s="35">
        <f>Budsjett!H53</f>
        <v>0</v>
      </c>
      <c r="F19" s="35">
        <f>Budsjett!I53</f>
        <v>0</v>
      </c>
      <c r="G19" s="34">
        <f t="shared" si="0"/>
        <v>0</v>
      </c>
    </row>
    <row r="20" spans="2:15" x14ac:dyDescent="0.25">
      <c r="B20" s="189" t="s">
        <v>232</v>
      </c>
      <c r="C20" s="35">
        <f>Budsjett!F49</f>
        <v>0</v>
      </c>
      <c r="D20" s="35">
        <f>Budsjett!G49</f>
        <v>0</v>
      </c>
      <c r="E20" s="35">
        <f>Budsjett!H49</f>
        <v>0</v>
      </c>
      <c r="F20" s="35">
        <f>Budsjett!I49</f>
        <v>0</v>
      </c>
      <c r="G20" s="34">
        <f t="shared" si="0"/>
        <v>0</v>
      </c>
    </row>
    <row r="21" spans="2:15" x14ac:dyDescent="0.25">
      <c r="B21" s="189" t="s">
        <v>233</v>
      </c>
      <c r="C21" s="35">
        <f>Budsjett!F48</f>
        <v>0</v>
      </c>
      <c r="D21" s="35">
        <f>Budsjett!G48</f>
        <v>0</v>
      </c>
      <c r="E21" s="35">
        <f>Budsjett!H48</f>
        <v>0</v>
      </c>
      <c r="F21" s="35">
        <f>Budsjett!I48</f>
        <v>0</v>
      </c>
      <c r="G21" s="34">
        <f t="shared" si="0"/>
        <v>0</v>
      </c>
    </row>
    <row r="22" spans="2:15" x14ac:dyDescent="0.25">
      <c r="B22" s="57" t="s">
        <v>53</v>
      </c>
      <c r="C22" s="35">
        <f>Budsjett!F45+Budsjett!F46+Budsjett!F47+Budsjett!F51+Budsjett!F50</f>
        <v>0</v>
      </c>
      <c r="D22" s="35">
        <f>Budsjett!G45+Budsjett!G46+Budsjett!G47+Budsjett!G51+Budsjett!G50</f>
        <v>0</v>
      </c>
      <c r="E22" s="35">
        <f>Budsjett!H45+Budsjett!H46+Budsjett!H47+Budsjett!H51+Budsjett!H50</f>
        <v>0</v>
      </c>
      <c r="F22" s="35">
        <f>Budsjett!I45+Budsjett!I46+Budsjett!I47+Budsjett!I51+Budsjett!I50</f>
        <v>0</v>
      </c>
      <c r="G22" s="34">
        <f t="shared" si="0"/>
        <v>0</v>
      </c>
    </row>
    <row r="23" spans="2:15" x14ac:dyDescent="0.25">
      <c r="B23" s="31" t="s">
        <v>50</v>
      </c>
      <c r="C23" s="32">
        <f>SUM(C14:C22)</f>
        <v>0</v>
      </c>
      <c r="D23" s="32">
        <f>SUM(D14:D22)</f>
        <v>0</v>
      </c>
      <c r="E23" s="32">
        <f>SUM(E14:E22)</f>
        <v>0</v>
      </c>
      <c r="F23" s="32">
        <f>SUM(F14:F22)</f>
        <v>0</v>
      </c>
      <c r="G23" s="32">
        <f t="shared" si="0"/>
        <v>0</v>
      </c>
    </row>
    <row r="24" spans="2:15" x14ac:dyDescent="0.25">
      <c r="B24" s="31" t="s">
        <v>124</v>
      </c>
      <c r="C24" s="32">
        <f>C23+C13</f>
        <v>0</v>
      </c>
      <c r="D24" s="32">
        <f>D23+D13</f>
        <v>0</v>
      </c>
      <c r="E24" s="32">
        <f>E23+E13</f>
        <v>0</v>
      </c>
      <c r="F24" s="32">
        <f>F23+F13</f>
        <v>0</v>
      </c>
      <c r="G24" s="32">
        <f>G23+G13</f>
        <v>0</v>
      </c>
    </row>
    <row r="26" spans="2:15" x14ac:dyDescent="0.25">
      <c r="B26" s="30" t="s">
        <v>57</v>
      </c>
      <c r="C26" s="33">
        <f>C15+C17+C12+C16+C18+C21+C20</f>
        <v>0</v>
      </c>
      <c r="D26" s="33">
        <f>D15+D17+D12+D16+D18+D21+D20</f>
        <v>0</v>
      </c>
      <c r="E26" s="33">
        <f>E15+E17+E12+E16+E18+E21+E20</f>
        <v>0</v>
      </c>
      <c r="F26" s="33">
        <f>F15+F17+F12+F16+F18+F21+F20</f>
        <v>0</v>
      </c>
      <c r="G26" s="277">
        <f>G15+G17+G12+G16+G18+G21+G20</f>
        <v>0</v>
      </c>
      <c r="H26" s="286">
        <f>Registrering!C23</f>
        <v>9.85</v>
      </c>
      <c r="I26" s="20" t="str">
        <f>Registrering!B23</f>
        <v>Valutakurs (må forankres hos instituttleder)</v>
      </c>
      <c r="J26" s="20"/>
      <c r="K26" s="20"/>
      <c r="L26" s="20"/>
      <c r="M26" s="20"/>
      <c r="N26" s="20"/>
    </row>
    <row r="27" spans="2:15" x14ac:dyDescent="0.25">
      <c r="B27" s="20"/>
      <c r="C27" s="20"/>
      <c r="D27" s="42" t="str">
        <f>Budsjett!A65</f>
        <v xml:space="preserve">Mer inntekt/kostnad for instituttet </v>
      </c>
      <c r="G27" s="42">
        <f>Budsjett!G65</f>
        <v>0</v>
      </c>
    </row>
    <row r="28" spans="2:15" x14ac:dyDescent="0.25">
      <c r="B28" s="20"/>
      <c r="C28" s="20"/>
      <c r="D28" s="42" t="str">
        <f>Budsjett!A66</f>
        <v>Prosjektets reelle nettobidrag</v>
      </c>
      <c r="G28" s="107">
        <f>G26-G27</f>
        <v>0</v>
      </c>
    </row>
    <row r="29" spans="2:15" x14ac:dyDescent="0.25">
      <c r="B29" s="20"/>
      <c r="C29" s="20"/>
    </row>
    <row r="30" spans="2:15" x14ac:dyDescent="0.25">
      <c r="B30" s="444" t="s">
        <v>181</v>
      </c>
      <c r="C30" s="435">
        <f>Registrering!C10</f>
        <v>0</v>
      </c>
      <c r="D30" s="436"/>
      <c r="E30" s="436"/>
      <c r="F30" s="436"/>
      <c r="G30" s="436"/>
      <c r="H30" s="436"/>
      <c r="I30" s="436"/>
      <c r="J30" s="437"/>
      <c r="K30" s="279"/>
      <c r="L30" s="280" t="s">
        <v>80</v>
      </c>
      <c r="M30" s="397" t="str">
        <f>IFERROR((G17+G18)/(G14+G15+G16),"")</f>
        <v/>
      </c>
      <c r="O30" s="268"/>
    </row>
    <row r="31" spans="2:15" x14ac:dyDescent="0.25">
      <c r="B31" s="445"/>
      <c r="C31" s="438"/>
      <c r="D31" s="439"/>
      <c r="E31" s="439"/>
      <c r="F31" s="439"/>
      <c r="G31" s="439"/>
      <c r="H31" s="439"/>
      <c r="I31" s="439"/>
      <c r="J31" s="440"/>
      <c r="K31" s="279"/>
      <c r="L31" s="281" t="s">
        <v>112</v>
      </c>
      <c r="M31" s="282" t="str">
        <f>IFERROR((G17/(G14+G15)),"")</f>
        <v/>
      </c>
      <c r="N31" s="86"/>
      <c r="O31" s="268"/>
    </row>
    <row r="32" spans="2:15" ht="15" customHeight="1" x14ac:dyDescent="0.25">
      <c r="B32" s="446"/>
      <c r="C32" s="441"/>
      <c r="D32" s="442"/>
      <c r="E32" s="442"/>
      <c r="F32" s="442"/>
      <c r="G32" s="442"/>
      <c r="H32" s="442"/>
      <c r="I32" s="442"/>
      <c r="J32" s="443"/>
      <c r="K32" s="279"/>
      <c r="L32" s="280" t="s">
        <v>69</v>
      </c>
      <c r="M32" s="283" t="str">
        <f>IFERROR(-G12/SUM(G23:G23),"")</f>
        <v/>
      </c>
      <c r="O32" s="274"/>
    </row>
    <row r="33" spans="2:15" x14ac:dyDescent="0.25">
      <c r="B33" s="44" t="s">
        <v>77</v>
      </c>
      <c r="D33" s="71"/>
      <c r="F33" s="71"/>
      <c r="G33" s="71"/>
      <c r="H33" s="71"/>
      <c r="I33" s="71"/>
      <c r="J33" s="72"/>
      <c r="K33" s="59"/>
      <c r="L33" s="59"/>
      <c r="M33" s="59"/>
      <c r="O33" s="107"/>
    </row>
    <row r="34" spans="2:15" ht="36" customHeight="1" x14ac:dyDescent="0.25">
      <c r="B34" s="433"/>
      <c r="C34" s="434"/>
      <c r="D34" s="74"/>
      <c r="E34" s="447"/>
      <c r="F34" s="448"/>
      <c r="G34" s="448"/>
      <c r="H34" s="448"/>
      <c r="I34" s="449"/>
      <c r="J34" s="74"/>
      <c r="K34" s="59"/>
      <c r="L34" s="59"/>
      <c r="M34" s="59"/>
    </row>
    <row r="35" spans="2:15" x14ac:dyDescent="0.25">
      <c r="B35" s="75" t="s">
        <v>78</v>
      </c>
      <c r="C35" s="70"/>
      <c r="D35" s="74" t="s">
        <v>70</v>
      </c>
      <c r="E35" s="78" t="s">
        <v>5</v>
      </c>
      <c r="F35" s="69"/>
      <c r="G35" s="76"/>
      <c r="H35" s="76"/>
      <c r="I35" s="77"/>
      <c r="J35" s="74" t="s">
        <v>70</v>
      </c>
      <c r="K35" s="59"/>
      <c r="L35" s="59"/>
      <c r="M35" s="59"/>
    </row>
    <row r="36" spans="2:15" x14ac:dyDescent="0.25">
      <c r="B36" s="75">
        <f>Registrering!C7</f>
        <v>0</v>
      </c>
      <c r="C36" s="70"/>
      <c r="E36" s="145">
        <f>Registrering!C5</f>
        <v>0</v>
      </c>
      <c r="F36" s="84"/>
      <c r="G36" s="72"/>
      <c r="H36" s="72"/>
      <c r="I36" s="73"/>
      <c r="J36" s="74"/>
    </row>
  </sheetData>
  <sheetProtection password="FF04" sheet="1" objects="1" scenarios="1" formatColumns="0"/>
  <mergeCells count="4">
    <mergeCell ref="B34:C34"/>
    <mergeCell ref="C30:J32"/>
    <mergeCell ref="B30:B32"/>
    <mergeCell ref="E34:I34"/>
  </mergeCells>
  <conditionalFormatting sqref="J4">
    <cfRule type="expression" dxfId="12" priority="1" stopIfTrue="1">
      <formula>#REF!="NEI"</formula>
    </cfRule>
  </conditionalFormatting>
  <pageMargins left="0.43" right="0.22" top="0.35" bottom="0.36" header="0.31496062992125984" footer="0.23622047244094491"/>
  <pageSetup paperSize="9" scale="77"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B1:P47"/>
  <sheetViews>
    <sheetView showGridLines="0" zoomScale="70" zoomScaleNormal="70" workbookViewId="0">
      <selection activeCell="C4" sqref="C4"/>
    </sheetView>
  </sheetViews>
  <sheetFormatPr defaultColWidth="9.140625" defaultRowHeight="12.75" x14ac:dyDescent="0.2"/>
  <cols>
    <col min="1" max="1" width="1.5703125" customWidth="1"/>
    <col min="2" max="2" width="37.140625" customWidth="1"/>
    <col min="3" max="12" width="10.85546875" customWidth="1"/>
    <col min="13" max="13" width="17.28515625" customWidth="1"/>
    <col min="14" max="14" width="10.85546875" customWidth="1"/>
    <col min="15" max="15" width="8.28515625" bestFit="1" customWidth="1"/>
    <col min="16" max="16" width="6.42578125" customWidth="1"/>
    <col min="17" max="17" width="10.5703125" customWidth="1"/>
  </cols>
  <sheetData>
    <row r="1" spans="2:14" ht="15.75" x14ac:dyDescent="0.25">
      <c r="B1" s="130" t="s">
        <v>236</v>
      </c>
    </row>
    <row r="3" spans="2:14" ht="15" x14ac:dyDescent="0.25">
      <c r="B3" s="116" t="s">
        <v>125</v>
      </c>
    </row>
    <row r="4" spans="2:14" x14ac:dyDescent="0.2">
      <c r="B4" s="129"/>
      <c r="C4" s="129" t="str">
        <f>Budsjett!F3</f>
        <v>Periode 1 (1-18 month)</v>
      </c>
      <c r="D4" s="129" t="str">
        <f>Budsjett!G3</f>
        <v>Periode 2 (19-36 month)</v>
      </c>
      <c r="E4" s="129" t="str">
        <f>Budsjett!H3</f>
        <v>Periode 3 (37-54 month)</v>
      </c>
      <c r="F4" s="129" t="str">
        <f>Budsjett!I3</f>
        <v>Periode 4 (55-60 (72) month)</v>
      </c>
      <c r="G4" s="129" t="e">
        <f>Budsjett!#REF!</f>
        <v>#REF!</v>
      </c>
      <c r="H4" s="129" t="e">
        <f>Budsjett!#REF!</f>
        <v>#REF!</v>
      </c>
      <c r="I4" s="129" t="e">
        <f>Budsjett!#REF!</f>
        <v>#REF!</v>
      </c>
      <c r="J4" s="129" t="e">
        <f>Budsjett!#REF!</f>
        <v>#REF!</v>
      </c>
      <c r="K4" s="129" t="e">
        <f>Budsjett!#REF!</f>
        <v>#REF!</v>
      </c>
      <c r="L4" s="129" t="e">
        <f>Budsjett!#REF!</f>
        <v>#REF!</v>
      </c>
      <c r="M4" s="129" t="s">
        <v>226</v>
      </c>
      <c r="N4" s="129" t="s">
        <v>0</v>
      </c>
    </row>
    <row r="5" spans="2:14" x14ac:dyDescent="0.2">
      <c r="B5" t="s">
        <v>126</v>
      </c>
      <c r="C5" s="131">
        <f>SUM('Intern oversikt'!C14+'Intern oversikt'!C15+'Intern oversikt'!C16+'Intern oversikt'!C17+'Intern oversikt'!C18)</f>
        <v>0</v>
      </c>
      <c r="D5" s="131">
        <f>SUM('Intern oversikt'!D14+'Intern oversikt'!D15+'Intern oversikt'!D16+'Intern oversikt'!D17+'Intern oversikt'!D18)</f>
        <v>0</v>
      </c>
      <c r="E5" s="131">
        <f>SUM('Intern oversikt'!E14+'Intern oversikt'!E15+'Intern oversikt'!E16+'Intern oversikt'!E17+'Intern oversikt'!E18)</f>
        <v>0</v>
      </c>
      <c r="F5" s="131">
        <f>SUM('Intern oversikt'!F14+'Intern oversikt'!F15+'Intern oversikt'!F16+'Intern oversikt'!F17+'Intern oversikt'!F18)</f>
        <v>0</v>
      </c>
      <c r="G5" s="131" t="e">
        <f>SUM('Intern oversikt'!#REF!+'Intern oversikt'!#REF!+'Intern oversikt'!#REF!+'Intern oversikt'!#REF!+'Intern oversikt'!#REF!)</f>
        <v>#REF!</v>
      </c>
      <c r="H5" s="131" t="e">
        <f>SUM('Intern oversikt'!#REF!+'Intern oversikt'!#REF!+'Intern oversikt'!#REF!+'Intern oversikt'!#REF!+'Intern oversikt'!#REF!)</f>
        <v>#REF!</v>
      </c>
      <c r="I5" s="131" t="e">
        <f>SUM('Intern oversikt'!#REF!+'Intern oversikt'!#REF!+'Intern oversikt'!#REF!+'Intern oversikt'!#REF!+'Intern oversikt'!#REF!)</f>
        <v>#REF!</v>
      </c>
      <c r="J5" s="131" t="e">
        <f>SUM('Intern oversikt'!#REF!+'Intern oversikt'!#REF!+'Intern oversikt'!#REF!+'Intern oversikt'!#REF!+'Intern oversikt'!#REF!)</f>
        <v>#REF!</v>
      </c>
      <c r="K5" s="131" t="e">
        <f>SUM('Intern oversikt'!#REF!+'Intern oversikt'!#REF!+'Intern oversikt'!#REF!+'Intern oversikt'!#REF!+'Intern oversikt'!#REF!)</f>
        <v>#REF!</v>
      </c>
      <c r="L5" s="131" t="e">
        <f>SUM('Intern oversikt'!#REF!+'Intern oversikt'!#REF!+'Intern oversikt'!#REF!+'Intern oversikt'!#REF!+'Intern oversikt'!#REF!)</f>
        <v>#REF!</v>
      </c>
      <c r="M5" s="131" t="e">
        <f>H5+I5+J5</f>
        <v>#REF!</v>
      </c>
      <c r="N5" s="131" t="e">
        <f>SUM(C5:L5)</f>
        <v>#REF!</v>
      </c>
    </row>
    <row r="6" spans="2:14" x14ac:dyDescent="0.2">
      <c r="B6" t="s">
        <v>127</v>
      </c>
      <c r="C6" s="131">
        <f>Budsjett!F51+Budsjett!F52</f>
        <v>0</v>
      </c>
      <c r="D6" s="131">
        <f>Budsjett!G51+Budsjett!G52</f>
        <v>0</v>
      </c>
      <c r="E6" s="131">
        <f>Budsjett!H51+Budsjett!H52</f>
        <v>0</v>
      </c>
      <c r="F6" s="131">
        <f>Budsjett!I51+Budsjett!I52</f>
        <v>0</v>
      </c>
      <c r="G6" s="131" t="e">
        <f>Budsjett!#REF!+Budsjett!#REF!</f>
        <v>#REF!</v>
      </c>
      <c r="H6" s="131" t="e">
        <f>Budsjett!#REF!+Budsjett!#REF!</f>
        <v>#REF!</v>
      </c>
      <c r="I6" s="131" t="e">
        <f>Budsjett!#REF!+Budsjett!#REF!</f>
        <v>#REF!</v>
      </c>
      <c r="J6" s="131" t="e">
        <f>Budsjett!#REF!+Budsjett!#REF!</f>
        <v>#REF!</v>
      </c>
      <c r="K6" s="131" t="e">
        <f>Budsjett!#REF!+Budsjett!#REF!</f>
        <v>#REF!</v>
      </c>
      <c r="L6" s="131" t="e">
        <f>Budsjett!#REF!+Budsjett!#REF!</f>
        <v>#REF!</v>
      </c>
      <c r="M6" s="131" t="e">
        <f>H6+I6+J6</f>
        <v>#REF!</v>
      </c>
      <c r="N6" s="131" t="e">
        <f>SUM(C6:L6)</f>
        <v>#REF!</v>
      </c>
    </row>
    <row r="7" spans="2:14" x14ac:dyDescent="0.2">
      <c r="B7" t="s">
        <v>128</v>
      </c>
      <c r="C7" s="131">
        <f>Budsjett!F53</f>
        <v>0</v>
      </c>
      <c r="D7" s="131">
        <f>Budsjett!G53</f>
        <v>0</v>
      </c>
      <c r="E7" s="131">
        <f>Budsjett!H53</f>
        <v>0</v>
      </c>
      <c r="F7" s="131">
        <f>Budsjett!I53</f>
        <v>0</v>
      </c>
      <c r="G7" s="131" t="e">
        <f>Budsjett!#REF!</f>
        <v>#REF!</v>
      </c>
      <c r="H7" s="131" t="e">
        <f>Budsjett!#REF!</f>
        <v>#REF!</v>
      </c>
      <c r="I7" s="131" t="e">
        <f>Budsjett!#REF!</f>
        <v>#REF!</v>
      </c>
      <c r="J7" s="131" t="e">
        <f>Budsjett!#REF!</f>
        <v>#REF!</v>
      </c>
      <c r="K7" s="131" t="e">
        <f>Budsjett!#REF!</f>
        <v>#REF!</v>
      </c>
      <c r="L7" s="131" t="e">
        <f>Budsjett!#REF!</f>
        <v>#REF!</v>
      </c>
      <c r="M7" s="131" t="e">
        <f>H7+I7+J7</f>
        <v>#REF!</v>
      </c>
      <c r="N7" s="131" t="e">
        <f>SUM(C7:L7)</f>
        <v>#REF!</v>
      </c>
    </row>
    <row r="8" spans="2:14" x14ac:dyDescent="0.2">
      <c r="B8" t="s">
        <v>129</v>
      </c>
      <c r="C8" s="131" t="e">
        <f>SUM(Budsjett!#REF!+Budsjett!F45+Budsjett!F46+Budsjett!F47+Budsjett!F48+Budsjett!F49)</f>
        <v>#REF!</v>
      </c>
      <c r="D8" s="131" t="e">
        <f>SUM(Budsjett!#REF!+Budsjett!G45+Budsjett!G46+Budsjett!G47+Budsjett!G48+Budsjett!G49)</f>
        <v>#REF!</v>
      </c>
      <c r="E8" s="131" t="e">
        <f>SUM(Budsjett!#REF!+Budsjett!H45+Budsjett!H46+Budsjett!H47+Budsjett!H48+Budsjett!H49)</f>
        <v>#REF!</v>
      </c>
      <c r="F8" s="131" t="e">
        <f>SUM(Budsjett!#REF!+Budsjett!I45+Budsjett!I46+Budsjett!I47+Budsjett!I48+Budsjett!I49)</f>
        <v>#REF!</v>
      </c>
      <c r="G8" s="131" t="e">
        <f>SUM(Budsjett!#REF!+Budsjett!#REF!+Budsjett!#REF!+Budsjett!#REF!+Budsjett!#REF!+Budsjett!#REF!)</f>
        <v>#REF!</v>
      </c>
      <c r="H8" s="131" t="e">
        <f>SUM(Budsjett!#REF!+Budsjett!#REF!+Budsjett!#REF!+Budsjett!#REF!+Budsjett!#REF!+Budsjett!#REF!)</f>
        <v>#REF!</v>
      </c>
      <c r="I8" s="131" t="e">
        <f>SUM(Budsjett!#REF!+Budsjett!#REF!+Budsjett!#REF!+Budsjett!#REF!+Budsjett!#REF!+Budsjett!#REF!)</f>
        <v>#REF!</v>
      </c>
      <c r="J8" s="131" t="e">
        <f>SUM(Budsjett!#REF!+Budsjett!#REF!+Budsjett!#REF!+Budsjett!#REF!+Budsjett!#REF!+Budsjett!#REF!)</f>
        <v>#REF!</v>
      </c>
      <c r="K8" s="131" t="e">
        <f>SUM(Budsjett!#REF!+Budsjett!#REF!+Budsjett!#REF!+Budsjett!#REF!+Budsjett!#REF!+Budsjett!#REF!)</f>
        <v>#REF!</v>
      </c>
      <c r="L8" s="131" t="e">
        <f>SUM(Budsjett!#REF!+Budsjett!#REF!+Budsjett!#REF!+Budsjett!#REF!+Budsjett!#REF!+Budsjett!#REF!)</f>
        <v>#REF!</v>
      </c>
      <c r="M8" s="131" t="e">
        <f>H8+I8+J8</f>
        <v>#REF!</v>
      </c>
      <c r="N8" s="131" t="e">
        <f>SUM(C8:L8)</f>
        <v>#REF!</v>
      </c>
    </row>
    <row r="9" spans="2:14" ht="15" x14ac:dyDescent="0.25">
      <c r="B9" s="31" t="s">
        <v>130</v>
      </c>
      <c r="C9" s="132" t="e">
        <f t="shared" ref="C9:M9" si="0">SUM(C5:C8)</f>
        <v>#REF!</v>
      </c>
      <c r="D9" s="132" t="e">
        <f t="shared" si="0"/>
        <v>#REF!</v>
      </c>
      <c r="E9" s="132" t="e">
        <f t="shared" si="0"/>
        <v>#REF!</v>
      </c>
      <c r="F9" s="132" t="e">
        <f t="shared" si="0"/>
        <v>#REF!</v>
      </c>
      <c r="G9" s="132" t="e">
        <f t="shared" si="0"/>
        <v>#REF!</v>
      </c>
      <c r="H9" s="132" t="e">
        <f t="shared" si="0"/>
        <v>#REF!</v>
      </c>
      <c r="I9" s="132" t="e">
        <f t="shared" si="0"/>
        <v>#REF!</v>
      </c>
      <c r="J9" s="132" t="e">
        <f t="shared" si="0"/>
        <v>#REF!</v>
      </c>
      <c r="K9" s="132" t="e">
        <f t="shared" si="0"/>
        <v>#REF!</v>
      </c>
      <c r="L9" s="132" t="e">
        <f t="shared" si="0"/>
        <v>#REF!</v>
      </c>
      <c r="M9" s="132" t="e">
        <f t="shared" si="0"/>
        <v>#REF!</v>
      </c>
      <c r="N9" s="132" t="e">
        <f>SUM(N5:N8)</f>
        <v>#REF!</v>
      </c>
    </row>
    <row r="10" spans="2:14" x14ac:dyDescent="0.2">
      <c r="C10" s="117"/>
      <c r="D10" s="117"/>
      <c r="E10" s="117"/>
      <c r="F10" s="117"/>
      <c r="G10" s="117"/>
      <c r="H10" s="117"/>
      <c r="I10" s="117"/>
      <c r="J10" s="117"/>
      <c r="K10" s="117"/>
      <c r="L10" s="117"/>
      <c r="M10" s="117"/>
      <c r="N10" s="117"/>
    </row>
    <row r="11" spans="2:14" ht="15" x14ac:dyDescent="0.25">
      <c r="B11" s="116" t="s">
        <v>131</v>
      </c>
    </row>
    <row r="12" spans="2:14" x14ac:dyDescent="0.2">
      <c r="B12" s="129"/>
      <c r="C12" s="129" t="str">
        <f>C4</f>
        <v>Periode 1 (1-18 month)</v>
      </c>
      <c r="D12" s="129" t="str">
        <f t="shared" ref="D12:L12" si="1">D4</f>
        <v>Periode 2 (19-36 month)</v>
      </c>
      <c r="E12" s="129" t="str">
        <f t="shared" si="1"/>
        <v>Periode 3 (37-54 month)</v>
      </c>
      <c r="F12" s="129" t="str">
        <f t="shared" si="1"/>
        <v>Periode 4 (55-60 (72) month)</v>
      </c>
      <c r="G12" s="129" t="e">
        <f t="shared" si="1"/>
        <v>#REF!</v>
      </c>
      <c r="H12" s="129" t="e">
        <f t="shared" si="1"/>
        <v>#REF!</v>
      </c>
      <c r="I12" s="129" t="e">
        <f t="shared" si="1"/>
        <v>#REF!</v>
      </c>
      <c r="J12" s="129" t="e">
        <f t="shared" si="1"/>
        <v>#REF!</v>
      </c>
      <c r="K12" s="129" t="e">
        <f t="shared" si="1"/>
        <v>#REF!</v>
      </c>
      <c r="L12" s="129" t="e">
        <f t="shared" si="1"/>
        <v>#REF!</v>
      </c>
      <c r="M12" s="129" t="s">
        <v>226</v>
      </c>
      <c r="N12" s="129" t="s">
        <v>0</v>
      </c>
    </row>
    <row r="13" spans="2:14" x14ac:dyDescent="0.2">
      <c r="B13" t="s">
        <v>132</v>
      </c>
      <c r="C13" s="117"/>
      <c r="D13" s="117"/>
      <c r="E13" s="117"/>
      <c r="F13" s="117"/>
      <c r="G13" s="117"/>
      <c r="H13" s="117"/>
      <c r="I13" s="117"/>
      <c r="J13" s="117"/>
      <c r="K13" s="117"/>
      <c r="L13" s="117"/>
      <c r="M13" s="131">
        <f>H13+I13+J13</f>
        <v>0</v>
      </c>
      <c r="N13" s="117"/>
    </row>
    <row r="14" spans="2:14" x14ac:dyDescent="0.2">
      <c r="B14" t="s">
        <v>133</v>
      </c>
      <c r="C14" s="128"/>
      <c r="D14" s="128"/>
      <c r="E14" s="128"/>
      <c r="F14" s="128"/>
      <c r="G14" s="128"/>
      <c r="H14" s="128"/>
      <c r="I14" s="128"/>
      <c r="J14" s="128"/>
      <c r="K14" s="128"/>
      <c r="L14" s="128"/>
      <c r="M14" s="131">
        <f>H14+I14+J14</f>
        <v>0</v>
      </c>
      <c r="N14" s="128"/>
    </row>
    <row r="15" spans="2:14" x14ac:dyDescent="0.2">
      <c r="B15" t="s">
        <v>134</v>
      </c>
      <c r="C15" s="131" t="e">
        <f>C9</f>
        <v>#REF!</v>
      </c>
      <c r="D15" s="131" t="e">
        <f t="shared" ref="D15:L15" si="2">D9</f>
        <v>#REF!</v>
      </c>
      <c r="E15" s="131" t="e">
        <f t="shared" si="2"/>
        <v>#REF!</v>
      </c>
      <c r="F15" s="131" t="e">
        <f t="shared" si="2"/>
        <v>#REF!</v>
      </c>
      <c r="G15" s="131" t="e">
        <f t="shared" si="2"/>
        <v>#REF!</v>
      </c>
      <c r="H15" s="131" t="e">
        <f t="shared" si="2"/>
        <v>#REF!</v>
      </c>
      <c r="I15" s="131" t="e">
        <f t="shared" si="2"/>
        <v>#REF!</v>
      </c>
      <c r="J15" s="131" t="e">
        <f t="shared" si="2"/>
        <v>#REF!</v>
      </c>
      <c r="K15" s="131" t="e">
        <f t="shared" si="2"/>
        <v>#REF!</v>
      </c>
      <c r="L15" s="131" t="e">
        <f t="shared" si="2"/>
        <v>#REF!</v>
      </c>
      <c r="M15" s="131" t="e">
        <f>H15+I15+J15</f>
        <v>#REF!</v>
      </c>
      <c r="N15" s="131" t="e">
        <f>SUM(C15:L15)</f>
        <v>#REF!</v>
      </c>
    </row>
    <row r="16" spans="2:14" x14ac:dyDescent="0.2">
      <c r="B16" t="s">
        <v>135</v>
      </c>
      <c r="C16" s="131"/>
      <c r="D16" s="131"/>
      <c r="E16" s="131"/>
      <c r="F16" s="131"/>
      <c r="G16" s="131"/>
      <c r="H16" s="131"/>
      <c r="I16" s="131"/>
      <c r="J16" s="131"/>
      <c r="K16" s="131"/>
      <c r="L16" s="131"/>
      <c r="M16" s="131">
        <f>H16+I16+J16</f>
        <v>0</v>
      </c>
      <c r="N16" s="131">
        <f>SUM(C16:L16)</f>
        <v>0</v>
      </c>
    </row>
    <row r="17" spans="2:16" x14ac:dyDescent="0.2">
      <c r="B17" t="s">
        <v>136</v>
      </c>
      <c r="C17" s="131"/>
      <c r="D17" s="131"/>
      <c r="E17" s="131"/>
      <c r="F17" s="131"/>
      <c r="G17" s="131"/>
      <c r="H17" s="131"/>
      <c r="I17" s="131"/>
      <c r="J17" s="131"/>
      <c r="K17" s="131"/>
      <c r="L17" s="131"/>
      <c r="M17" s="131">
        <f>H17+I17+J17</f>
        <v>0</v>
      </c>
      <c r="N17" s="131">
        <f>SUM(C17:J17)</f>
        <v>0</v>
      </c>
    </row>
    <row r="18" spans="2:16" ht="15" x14ac:dyDescent="0.25">
      <c r="B18" s="31" t="s">
        <v>130</v>
      </c>
      <c r="C18" s="132" t="e">
        <f t="shared" ref="C18:M18" si="3">SUM(C14:C17)</f>
        <v>#REF!</v>
      </c>
      <c r="D18" s="132" t="e">
        <f t="shared" si="3"/>
        <v>#REF!</v>
      </c>
      <c r="E18" s="132" t="e">
        <f t="shared" si="3"/>
        <v>#REF!</v>
      </c>
      <c r="F18" s="132" t="e">
        <f t="shared" si="3"/>
        <v>#REF!</v>
      </c>
      <c r="G18" s="132" t="e">
        <f t="shared" si="3"/>
        <v>#REF!</v>
      </c>
      <c r="H18" s="132" t="e">
        <f t="shared" si="3"/>
        <v>#REF!</v>
      </c>
      <c r="I18" s="132" t="e">
        <f t="shared" si="3"/>
        <v>#REF!</v>
      </c>
      <c r="J18" s="132" t="e">
        <f t="shared" si="3"/>
        <v>#REF!</v>
      </c>
      <c r="K18" s="132" t="e">
        <f t="shared" si="3"/>
        <v>#REF!</v>
      </c>
      <c r="L18" s="132" t="e">
        <f t="shared" si="3"/>
        <v>#REF!</v>
      </c>
      <c r="M18" s="132" t="e">
        <f t="shared" si="3"/>
        <v>#REF!</v>
      </c>
      <c r="N18" s="132" t="e">
        <f>SUM(N13:N17)</f>
        <v>#REF!</v>
      </c>
    </row>
    <row r="20" spans="2:16" ht="15" x14ac:dyDescent="0.25">
      <c r="B20" s="116" t="s">
        <v>137</v>
      </c>
    </row>
    <row r="21" spans="2:16" x14ac:dyDescent="0.2">
      <c r="B21" s="129"/>
      <c r="C21" s="129" t="str">
        <f>C4</f>
        <v>Periode 1 (1-18 month)</v>
      </c>
      <c r="D21" s="129" t="str">
        <f t="shared" ref="D21:L21" si="4">D4</f>
        <v>Periode 2 (19-36 month)</v>
      </c>
      <c r="E21" s="129" t="str">
        <f t="shared" si="4"/>
        <v>Periode 3 (37-54 month)</v>
      </c>
      <c r="F21" s="129" t="str">
        <f t="shared" si="4"/>
        <v>Periode 4 (55-60 (72) month)</v>
      </c>
      <c r="G21" s="129" t="e">
        <f t="shared" si="4"/>
        <v>#REF!</v>
      </c>
      <c r="H21" s="129" t="e">
        <f t="shared" si="4"/>
        <v>#REF!</v>
      </c>
      <c r="I21" s="129" t="e">
        <f t="shared" si="4"/>
        <v>#REF!</v>
      </c>
      <c r="J21" s="129" t="e">
        <f t="shared" si="4"/>
        <v>#REF!</v>
      </c>
      <c r="K21" s="129" t="e">
        <f t="shared" si="4"/>
        <v>#REF!</v>
      </c>
      <c r="L21" s="129" t="e">
        <f t="shared" si="4"/>
        <v>#REF!</v>
      </c>
      <c r="M21" s="129" t="s">
        <v>226</v>
      </c>
      <c r="N21" s="129" t="s">
        <v>0</v>
      </c>
      <c r="O21" s="129" t="s">
        <v>199</v>
      </c>
    </row>
    <row r="22" spans="2:16" x14ac:dyDescent="0.2">
      <c r="B22" t="s">
        <v>138</v>
      </c>
      <c r="C22" s="131">
        <f>-Budsjett!F57</f>
        <v>0</v>
      </c>
      <c r="D22" s="131">
        <f>-Budsjett!G57</f>
        <v>0</v>
      </c>
      <c r="E22" s="131">
        <f>-Budsjett!H57</f>
        <v>0</v>
      </c>
      <c r="F22" s="131">
        <f>-Budsjett!I57</f>
        <v>0</v>
      </c>
      <c r="G22" s="131" t="e">
        <f>-Budsjett!#REF!</f>
        <v>#REF!</v>
      </c>
      <c r="H22" s="131" t="e">
        <f>-Budsjett!#REF!</f>
        <v>#REF!</v>
      </c>
      <c r="I22" s="131" t="e">
        <f>-Budsjett!#REF!</f>
        <v>#REF!</v>
      </c>
      <c r="J22" s="131" t="e">
        <f>-Budsjett!#REF!</f>
        <v>#REF!</v>
      </c>
      <c r="K22" s="131" t="e">
        <f>-Budsjett!#REF!</f>
        <v>#REF!</v>
      </c>
      <c r="L22" s="131" t="e">
        <f>-Budsjett!#REF!</f>
        <v>#REF!</v>
      </c>
      <c r="M22" s="131" t="e">
        <f>H22+I22+J22</f>
        <v>#REF!</v>
      </c>
      <c r="N22" s="131" t="e">
        <f>SUM(C22:L22)</f>
        <v>#REF!</v>
      </c>
      <c r="O22" s="128">
        <f t="shared" ref="O22:O27" si="5">IFERROR(N22/$N$27*100,0)</f>
        <v>0</v>
      </c>
      <c r="P22" s="128">
        <f>IFERROR(N22/($N$22+$N$25)*100,0)</f>
        <v>0</v>
      </c>
    </row>
    <row r="23" spans="2:16" x14ac:dyDescent="0.2">
      <c r="B23" t="s">
        <v>139</v>
      </c>
      <c r="C23" s="131">
        <f>-IF(Registrering!$C$26="Fast beløp",Finansiering!C7,Budsjett!#REF!-Budsjett!BP57)</f>
        <v>0</v>
      </c>
      <c r="D23" s="131">
        <f>-IF(Registrering!$C$26="Fast beløp",Finansiering!D7,Budsjett!#REF!-Budsjett!BQ57)</f>
        <v>0</v>
      </c>
      <c r="E23" s="131">
        <f>-IF(Registrering!$C$26="Fast beløp",Finansiering!E7,Budsjett!#REF!-Budsjett!BR57)</f>
        <v>0</v>
      </c>
      <c r="F23" s="131">
        <f>-IF(Registrering!$C$26="Fast beløp",Finansiering!F7,Budsjett!#REF!-Budsjett!BS57)</f>
        <v>0</v>
      </c>
      <c r="G23" s="131" t="e">
        <f>-IF(Registrering!$C$26="Fast beløp",Finansiering!#REF!,Budsjett!#REF!-Budsjett!#REF!)</f>
        <v>#REF!</v>
      </c>
      <c r="H23" s="131" t="e">
        <f>-IF(Registrering!$C$26="Fast beløp",Finansiering!#REF!,Budsjett!#REF!-Budsjett!#REF!)</f>
        <v>#REF!</v>
      </c>
      <c r="I23" s="131" t="e">
        <f>-IF(Registrering!$C$26="Fast beløp",Finansiering!#REF!,Budsjett!#REF!-Budsjett!#REF!)</f>
        <v>#REF!</v>
      </c>
      <c r="J23" s="131" t="e">
        <f>-IF(Registrering!$C$26="Fast beløp",Finansiering!#REF!,Budsjett!#REF!-Budsjett!#REF!)</f>
        <v>#REF!</v>
      </c>
      <c r="K23" s="131" t="e">
        <f>-IF(Registrering!$C$26="Fast beløp",Finansiering!#REF!,Budsjett!#REF!-Budsjett!#REF!)</f>
        <v>#REF!</v>
      </c>
      <c r="L23" s="131" t="e">
        <f>-IF(Registrering!$C$26="Fast beløp",Finansiering!#REF!,Budsjett!#REF!-Budsjett!#REF!)</f>
        <v>#REF!</v>
      </c>
      <c r="M23" s="131" t="e">
        <f>H23+I23+J23</f>
        <v>#REF!</v>
      </c>
      <c r="N23" s="131" t="e">
        <f>SUM(C23:L23)</f>
        <v>#REF!</v>
      </c>
      <c r="O23" s="128">
        <f t="shared" si="5"/>
        <v>0</v>
      </c>
    </row>
    <row r="24" spans="2:16" x14ac:dyDescent="0.2">
      <c r="B24" t="s">
        <v>140</v>
      </c>
      <c r="C24" s="131">
        <f>-IF(Registrering!$C$26="Fast beløp",Finansiering!C8,Budsjett!#REF!)</f>
        <v>0</v>
      </c>
      <c r="D24" s="131">
        <f>-IF(Registrering!$C$26="Fast beløp",Finansiering!D8,Budsjett!#REF!)</f>
        <v>0</v>
      </c>
      <c r="E24" s="131">
        <f>-IF(Registrering!$C$26="Fast beløp",Finansiering!E8,Budsjett!#REF!)</f>
        <v>0</v>
      </c>
      <c r="F24" s="131">
        <f>-IF(Registrering!$C$26="Fast beløp",Finansiering!F8,Budsjett!#REF!)</f>
        <v>0</v>
      </c>
      <c r="G24" s="131" t="e">
        <f>-IF(Registrering!$C$26="Fast beløp",Finansiering!#REF!,Budsjett!#REF!)</f>
        <v>#REF!</v>
      </c>
      <c r="H24" s="131" t="e">
        <f>-IF(Registrering!$C$26="Fast beløp",Finansiering!#REF!,Budsjett!#REF!)</f>
        <v>#REF!</v>
      </c>
      <c r="I24" s="131" t="e">
        <f>-IF(Registrering!$C$26="Fast beløp",Finansiering!#REF!,Budsjett!#REF!)</f>
        <v>#REF!</v>
      </c>
      <c r="J24" s="131" t="e">
        <f>-IF(Registrering!$C$26="Fast beløp",Finansiering!#REF!,Budsjett!#REF!)</f>
        <v>#REF!</v>
      </c>
      <c r="K24" s="131" t="e">
        <f>-IF(Registrering!$C$26="Fast beløp",Finansiering!#REF!,Budsjett!#REF!)</f>
        <v>#REF!</v>
      </c>
      <c r="L24" s="131" t="e">
        <f>-IF(Registrering!$C$26="Fast beløp",Finansiering!#REF!,Budsjett!#REF!)</f>
        <v>#REF!</v>
      </c>
      <c r="M24" s="131" t="e">
        <f>H24+I24+J24</f>
        <v>#REF!</v>
      </c>
      <c r="N24" s="131" t="e">
        <f>SUM(C24:L24)</f>
        <v>#REF!</v>
      </c>
      <c r="O24" s="128">
        <f t="shared" si="5"/>
        <v>0</v>
      </c>
    </row>
    <row r="25" spans="2:16" x14ac:dyDescent="0.2">
      <c r="B25" t="s">
        <v>141</v>
      </c>
      <c r="C25" s="131" t="e">
        <f>-IF(Registrering!$C$26="Fast beløp",Finansiering!#REF!,Budsjett!#REF!)</f>
        <v>#REF!</v>
      </c>
      <c r="D25" s="131" t="e">
        <f>-IF(Registrering!$C$26="Fast beløp",Finansiering!#REF!,Budsjett!#REF!)</f>
        <v>#REF!</v>
      </c>
      <c r="E25" s="131" t="e">
        <f>-IF(Registrering!$C$26="Fast beløp",Finansiering!#REF!,Budsjett!#REF!)</f>
        <v>#REF!</v>
      </c>
      <c r="F25" s="131" t="e">
        <f>-IF(Registrering!$C$26="Fast beløp",Finansiering!#REF!,Budsjett!#REF!)</f>
        <v>#REF!</v>
      </c>
      <c r="G25" s="131" t="e">
        <f>-IF(Registrering!$C$26="Fast beløp",Finansiering!#REF!,Budsjett!#REF!)</f>
        <v>#REF!</v>
      </c>
      <c r="H25" s="131" t="e">
        <f>-IF(Registrering!$C$26="Fast beløp",Finansiering!#REF!,Budsjett!#REF!)</f>
        <v>#REF!</v>
      </c>
      <c r="I25" s="131" t="e">
        <f>-IF(Registrering!$C$26="Fast beløp",Finansiering!#REF!,Budsjett!#REF!)</f>
        <v>#REF!</v>
      </c>
      <c r="J25" s="131" t="e">
        <f>-IF(Registrering!$C$26="Fast beløp",Finansiering!#REF!,Budsjett!#REF!)</f>
        <v>#REF!</v>
      </c>
      <c r="K25" s="131" t="e">
        <f>-IF(Registrering!$C$26="Fast beløp",Finansiering!#REF!,Budsjett!#REF!)</f>
        <v>#REF!</v>
      </c>
      <c r="L25" s="131" t="e">
        <f>-IF(Registrering!$C$26="Fast beløp",Finansiering!#REF!,Budsjett!#REF!)</f>
        <v>#REF!</v>
      </c>
      <c r="M25" s="131" t="e">
        <f>H25+I25+J25</f>
        <v>#REF!</v>
      </c>
      <c r="N25" s="131" t="e">
        <f>SUM(C25:L25)</f>
        <v>#REF!</v>
      </c>
      <c r="O25" s="128">
        <f t="shared" si="5"/>
        <v>0</v>
      </c>
      <c r="P25" s="128">
        <f>IFERROR(N25/($N$22+$N$25)*100,0)</f>
        <v>0</v>
      </c>
    </row>
    <row r="26" spans="2:16" x14ac:dyDescent="0.2">
      <c r="B26" t="s">
        <v>142</v>
      </c>
      <c r="C26" s="131" t="e">
        <f>-IF(Registrering!$C$26="Fast beløp",Finansiering!#REF!,Budsjett!#REF!)</f>
        <v>#REF!</v>
      </c>
      <c r="D26" s="131" t="e">
        <f>-IF(Registrering!$C$26="Fast beløp",Finansiering!#REF!,Budsjett!#REF!)</f>
        <v>#REF!</v>
      </c>
      <c r="E26" s="131" t="e">
        <f>-IF(Registrering!$C$26="Fast beløp",Finansiering!#REF!,Budsjett!#REF!)</f>
        <v>#REF!</v>
      </c>
      <c r="F26" s="131" t="e">
        <f>-IF(Registrering!$C$26="Fast beløp",Finansiering!#REF!,Budsjett!#REF!)</f>
        <v>#REF!</v>
      </c>
      <c r="G26" s="131" t="e">
        <f>-IF(Registrering!$C$26="Fast beløp",Finansiering!#REF!,Budsjett!#REF!)</f>
        <v>#REF!</v>
      </c>
      <c r="H26" s="131" t="e">
        <f>-IF(Registrering!$C$26="Fast beløp",Finansiering!#REF!,Budsjett!#REF!)</f>
        <v>#REF!</v>
      </c>
      <c r="I26" s="131" t="e">
        <f>-IF(Registrering!$C$26="Fast beløp",Finansiering!#REF!,Budsjett!#REF!)</f>
        <v>#REF!</v>
      </c>
      <c r="J26" s="131" t="e">
        <f>-IF(Registrering!$C$26="Fast beløp",Finansiering!#REF!,Budsjett!#REF!)</f>
        <v>#REF!</v>
      </c>
      <c r="K26" s="131" t="e">
        <f>-IF(Registrering!$C$26="Fast beløp",Finansiering!#REF!,Budsjett!#REF!)</f>
        <v>#REF!</v>
      </c>
      <c r="L26" s="131" t="e">
        <f>-IF(Registrering!$C$26="Fast beløp",Finansiering!#REF!,Budsjett!#REF!)</f>
        <v>#REF!</v>
      </c>
      <c r="M26" s="131" t="e">
        <f>H26+I26+J26</f>
        <v>#REF!</v>
      </c>
      <c r="N26" s="131" t="e">
        <f>SUM(C26:L26)</f>
        <v>#REF!</v>
      </c>
      <c r="O26" s="128">
        <f t="shared" si="5"/>
        <v>0</v>
      </c>
    </row>
    <row r="27" spans="2:16" ht="15" x14ac:dyDescent="0.25">
      <c r="B27" s="31" t="s">
        <v>130</v>
      </c>
      <c r="C27" s="132" t="e">
        <f>SUM(C22:C26)</f>
        <v>#REF!</v>
      </c>
      <c r="D27" s="132" t="e">
        <f t="shared" ref="D27:M27" si="6">SUM(D22:D26)</f>
        <v>#REF!</v>
      </c>
      <c r="E27" s="132" t="e">
        <f t="shared" si="6"/>
        <v>#REF!</v>
      </c>
      <c r="F27" s="132" t="e">
        <f t="shared" si="6"/>
        <v>#REF!</v>
      </c>
      <c r="G27" s="132" t="e">
        <f t="shared" si="6"/>
        <v>#REF!</v>
      </c>
      <c r="H27" s="132" t="e">
        <f t="shared" si="6"/>
        <v>#REF!</v>
      </c>
      <c r="I27" s="132" t="e">
        <f t="shared" si="6"/>
        <v>#REF!</v>
      </c>
      <c r="J27" s="132" t="e">
        <f t="shared" si="6"/>
        <v>#REF!</v>
      </c>
      <c r="K27" s="132" t="e">
        <f t="shared" si="6"/>
        <v>#REF!</v>
      </c>
      <c r="L27" s="132" t="e">
        <f t="shared" si="6"/>
        <v>#REF!</v>
      </c>
      <c r="M27" s="132" t="e">
        <f t="shared" si="6"/>
        <v>#REF!</v>
      </c>
      <c r="N27" s="132" t="e">
        <f>SUM(N22:N26)</f>
        <v>#REF!</v>
      </c>
      <c r="O27" s="132">
        <f t="shared" si="5"/>
        <v>0</v>
      </c>
    </row>
    <row r="28" spans="2:16" x14ac:dyDescent="0.2">
      <c r="B28" s="141" t="s">
        <v>159</v>
      </c>
      <c r="C28" s="142" t="e">
        <f>C9-C27</f>
        <v>#REF!</v>
      </c>
      <c r="D28" s="142" t="e">
        <f t="shared" ref="D28:N28" si="7">D9-D27</f>
        <v>#REF!</v>
      </c>
      <c r="E28" s="142" t="e">
        <f t="shared" si="7"/>
        <v>#REF!</v>
      </c>
      <c r="F28" s="142" t="e">
        <f t="shared" si="7"/>
        <v>#REF!</v>
      </c>
      <c r="G28" s="142" t="e">
        <f t="shared" si="7"/>
        <v>#REF!</v>
      </c>
      <c r="H28" s="142" t="e">
        <f t="shared" si="7"/>
        <v>#REF!</v>
      </c>
      <c r="I28" s="142" t="e">
        <f t="shared" si="7"/>
        <v>#REF!</v>
      </c>
      <c r="J28" s="142" t="e">
        <f t="shared" si="7"/>
        <v>#REF!</v>
      </c>
      <c r="K28" s="142" t="e">
        <f t="shared" si="7"/>
        <v>#REF!</v>
      </c>
      <c r="L28" s="142" t="e">
        <f t="shared" si="7"/>
        <v>#REF!</v>
      </c>
      <c r="M28" s="142"/>
      <c r="N28" s="142" t="e">
        <f t="shared" si="7"/>
        <v>#REF!</v>
      </c>
    </row>
    <row r="29" spans="2:16" ht="15" x14ac:dyDescent="0.25">
      <c r="B29" s="116" t="s">
        <v>143</v>
      </c>
    </row>
    <row r="30" spans="2:16" x14ac:dyDescent="0.2">
      <c r="B30" s="129"/>
      <c r="C30" s="129" t="str">
        <f>C4</f>
        <v>Periode 1 (1-18 month)</v>
      </c>
      <c r="D30" s="129" t="str">
        <f t="shared" ref="D30:L30" si="8">D4</f>
        <v>Periode 2 (19-36 month)</v>
      </c>
      <c r="E30" s="129" t="str">
        <f t="shared" si="8"/>
        <v>Periode 3 (37-54 month)</v>
      </c>
      <c r="F30" s="129" t="str">
        <f t="shared" si="8"/>
        <v>Periode 4 (55-60 (72) month)</v>
      </c>
      <c r="G30" s="129" t="e">
        <f t="shared" si="8"/>
        <v>#REF!</v>
      </c>
      <c r="H30" s="129" t="e">
        <f t="shared" si="8"/>
        <v>#REF!</v>
      </c>
      <c r="I30" s="129" t="e">
        <f t="shared" si="8"/>
        <v>#REF!</v>
      </c>
      <c r="J30" s="129" t="e">
        <f t="shared" si="8"/>
        <v>#REF!</v>
      </c>
      <c r="K30" s="129" t="e">
        <f t="shared" si="8"/>
        <v>#REF!</v>
      </c>
      <c r="L30" s="129" t="e">
        <f t="shared" si="8"/>
        <v>#REF!</v>
      </c>
      <c r="M30" s="129" t="s">
        <v>226</v>
      </c>
      <c r="N30" s="129" t="s">
        <v>0</v>
      </c>
    </row>
    <row r="31" spans="2:16" x14ac:dyDescent="0.2">
      <c r="B31" t="s">
        <v>144</v>
      </c>
      <c r="C31" s="143" t="e">
        <f>-SUMIF(Budsjett!#REF!,Finansiering!#REF!,Budsjett!#REF!)</f>
        <v>#REF!</v>
      </c>
      <c r="D31" s="143" t="e">
        <f>-SUMIF(Budsjett!#REF!,Finansiering!#REF!,Budsjett!#REF!)</f>
        <v>#REF!</v>
      </c>
      <c r="E31" s="143" t="e">
        <f>-SUMIF(Budsjett!#REF!,Finansiering!#REF!,Budsjett!#REF!)</f>
        <v>#REF!</v>
      </c>
      <c r="F31" s="143" t="e">
        <f>-SUMIF(Budsjett!#REF!,Finansiering!#REF!,Budsjett!#REF!)</f>
        <v>#REF!</v>
      </c>
      <c r="G31" s="143" t="e">
        <f>-SUMIF(Budsjett!#REF!,Finansiering!#REF!,Budsjett!#REF!)</f>
        <v>#REF!</v>
      </c>
      <c r="H31" s="143" t="e">
        <f>-SUMIF(Budsjett!#REF!,Finansiering!#REF!,Budsjett!#REF!)</f>
        <v>#REF!</v>
      </c>
      <c r="I31" s="143" t="e">
        <f>-SUMIF(Budsjett!#REF!,Finansiering!#REF!,Budsjett!#REF!)</f>
        <v>#REF!</v>
      </c>
      <c r="J31" s="143" t="e">
        <f>-SUMIF(Budsjett!#REF!,Finansiering!#REF!,Budsjett!#REF!)</f>
        <v>#REF!</v>
      </c>
      <c r="K31" s="143" t="e">
        <f>-SUMIF(Budsjett!#REF!,Finansiering!#REF!,Budsjett!#REF!)</f>
        <v>#REF!</v>
      </c>
      <c r="L31" s="143" t="e">
        <f>-SUMIF(Budsjett!#REF!,Finansiering!#REF!,Budsjett!#REF!)</f>
        <v>#REF!</v>
      </c>
      <c r="M31" s="143" t="e">
        <f>H31+I31+J31</f>
        <v>#REF!</v>
      </c>
      <c r="N31" s="131" t="e">
        <f>SUM(C31:L31)</f>
        <v>#REF!</v>
      </c>
    </row>
    <row r="32" spans="2:16" x14ac:dyDescent="0.2">
      <c r="B32" t="s">
        <v>145</v>
      </c>
      <c r="C32" s="143" t="e">
        <f>-SUMIF(Budsjett!#REF!,Finansiering!#REF!,Budsjett!#REF!)</f>
        <v>#REF!</v>
      </c>
      <c r="D32" s="143" t="e">
        <f>-SUMIF(Budsjett!#REF!,Finansiering!#REF!,Budsjett!#REF!)</f>
        <v>#REF!</v>
      </c>
      <c r="E32" s="143" t="e">
        <f>-SUMIF(Budsjett!#REF!,Finansiering!#REF!,Budsjett!#REF!)</f>
        <v>#REF!</v>
      </c>
      <c r="F32" s="143" t="e">
        <f>-SUMIF(Budsjett!#REF!,Finansiering!#REF!,Budsjett!#REF!)</f>
        <v>#REF!</v>
      </c>
      <c r="G32" s="143" t="e">
        <f>-SUMIF(Budsjett!#REF!,Finansiering!#REF!,Budsjett!#REF!)</f>
        <v>#REF!</v>
      </c>
      <c r="H32" s="143" t="e">
        <f>-SUMIF(Budsjett!#REF!,Finansiering!#REF!,Budsjett!#REF!)</f>
        <v>#REF!</v>
      </c>
      <c r="I32" s="143" t="e">
        <f>-SUMIF(Budsjett!#REF!,Finansiering!#REF!,Budsjett!#REF!)</f>
        <v>#REF!</v>
      </c>
      <c r="J32" s="143" t="e">
        <f>-SUMIF(Budsjett!#REF!,Finansiering!#REF!,Budsjett!#REF!)</f>
        <v>#REF!</v>
      </c>
      <c r="K32" s="143" t="e">
        <f>-SUMIF(Budsjett!#REF!,Finansiering!#REF!,Budsjett!#REF!)</f>
        <v>#REF!</v>
      </c>
      <c r="L32" s="143" t="e">
        <f>-SUMIF(Budsjett!#REF!,Finansiering!#REF!,Budsjett!#REF!)</f>
        <v>#REF!</v>
      </c>
      <c r="M32" s="143" t="e">
        <f t="shared" ref="M32:M41" si="9">H32+I32+J32</f>
        <v>#REF!</v>
      </c>
      <c r="N32" s="131" t="e">
        <f t="shared" ref="N32:N37" si="10">SUM(C32:L32)</f>
        <v>#REF!</v>
      </c>
    </row>
    <row r="33" spans="2:14" x14ac:dyDescent="0.2">
      <c r="B33" t="s">
        <v>146</v>
      </c>
      <c r="C33" s="143" t="e">
        <f>-SUMIF(Budsjett!#REF!,Finansiering!#REF!,Budsjett!#REF!)</f>
        <v>#REF!</v>
      </c>
      <c r="D33" s="143" t="e">
        <f>-SUMIF(Budsjett!#REF!,Finansiering!#REF!,Budsjett!#REF!)</f>
        <v>#REF!</v>
      </c>
      <c r="E33" s="143" t="e">
        <f>-SUMIF(Budsjett!#REF!,Finansiering!#REF!,Budsjett!#REF!)</f>
        <v>#REF!</v>
      </c>
      <c r="F33" s="143" t="e">
        <f>-SUMIF(Budsjett!#REF!,Finansiering!#REF!,Budsjett!#REF!)</f>
        <v>#REF!</v>
      </c>
      <c r="G33" s="143" t="e">
        <f>-SUMIF(Budsjett!#REF!,Finansiering!#REF!,Budsjett!#REF!)</f>
        <v>#REF!</v>
      </c>
      <c r="H33" s="143" t="e">
        <f>-SUMIF(Budsjett!#REF!,Finansiering!#REF!,Budsjett!#REF!)</f>
        <v>#REF!</v>
      </c>
      <c r="I33" s="143" t="e">
        <f>-SUMIF(Budsjett!#REF!,Finansiering!#REF!,Budsjett!#REF!)</f>
        <v>#REF!</v>
      </c>
      <c r="J33" s="143" t="e">
        <f>-SUMIF(Budsjett!#REF!,Finansiering!#REF!,Budsjett!#REF!)</f>
        <v>#REF!</v>
      </c>
      <c r="K33" s="143" t="e">
        <f>-SUMIF(Budsjett!#REF!,Finansiering!#REF!,Budsjett!#REF!)</f>
        <v>#REF!</v>
      </c>
      <c r="L33" s="143" t="e">
        <f>-SUMIF(Budsjett!#REF!,Finansiering!#REF!,Budsjett!#REF!)</f>
        <v>#REF!</v>
      </c>
      <c r="M33" s="143" t="e">
        <f t="shared" si="9"/>
        <v>#REF!</v>
      </c>
      <c r="N33" s="131" t="e">
        <f t="shared" si="10"/>
        <v>#REF!</v>
      </c>
    </row>
    <row r="34" spans="2:14" x14ac:dyDescent="0.2">
      <c r="B34" t="s">
        <v>147</v>
      </c>
      <c r="C34" s="143" t="e">
        <f>-SUMIF(Budsjett!#REF!,Finansiering!#REF!,Budsjett!#REF!)-SUMIF(Budsjett!#REF!,Finansiering!#REF!,Budsjett!#REF!)</f>
        <v>#REF!</v>
      </c>
      <c r="D34" s="143" t="e">
        <f>-SUMIF(Budsjett!#REF!,Finansiering!#REF!,Budsjett!#REF!)-SUMIF(Budsjett!#REF!,Finansiering!#REF!,Budsjett!#REF!)</f>
        <v>#REF!</v>
      </c>
      <c r="E34" s="143" t="e">
        <f>-SUMIF(Budsjett!#REF!,Finansiering!#REF!,Budsjett!#REF!)-SUMIF(Budsjett!#REF!,Finansiering!#REF!,Budsjett!#REF!)</f>
        <v>#REF!</v>
      </c>
      <c r="F34" s="143" t="e">
        <f>-SUMIF(Budsjett!#REF!,Finansiering!#REF!,Budsjett!#REF!)-SUMIF(Budsjett!#REF!,Finansiering!#REF!,Budsjett!#REF!)</f>
        <v>#REF!</v>
      </c>
      <c r="G34" s="143" t="e">
        <f>-SUMIF(Budsjett!#REF!,Finansiering!#REF!,Budsjett!#REF!)-SUMIF(Budsjett!#REF!,Finansiering!#REF!,Budsjett!#REF!)</f>
        <v>#REF!</v>
      </c>
      <c r="H34" s="143" t="e">
        <f>-SUMIF(Budsjett!#REF!,Finansiering!#REF!,Budsjett!#REF!)-SUMIF(Budsjett!#REF!,Finansiering!#REF!,Budsjett!#REF!)</f>
        <v>#REF!</v>
      </c>
      <c r="I34" s="143" t="e">
        <f>-SUMIF(Budsjett!#REF!,Finansiering!#REF!,Budsjett!#REF!)-SUMIF(Budsjett!#REF!,Finansiering!#REF!,Budsjett!#REF!)</f>
        <v>#REF!</v>
      </c>
      <c r="J34" s="143" t="e">
        <f>-SUMIF(Budsjett!#REF!,Finansiering!#REF!,Budsjett!#REF!)-SUMIF(Budsjett!#REF!,Finansiering!#REF!,Budsjett!#REF!)</f>
        <v>#REF!</v>
      </c>
      <c r="K34" s="143" t="e">
        <f>-SUMIF(Budsjett!#REF!,Finansiering!#REF!,Budsjett!#REF!)-SUMIF(Budsjett!#REF!,Finansiering!#REF!,Budsjett!#REF!)</f>
        <v>#REF!</v>
      </c>
      <c r="L34" s="143" t="e">
        <f>-SUMIF(Budsjett!#REF!,Finansiering!#REF!,Budsjett!#REF!)-SUMIF(Budsjett!#REF!,Finansiering!#REF!,Budsjett!#REF!)</f>
        <v>#REF!</v>
      </c>
      <c r="M34" s="143" t="e">
        <f t="shared" si="9"/>
        <v>#REF!</v>
      </c>
      <c r="N34" s="131" t="e">
        <f t="shared" si="10"/>
        <v>#REF!</v>
      </c>
    </row>
    <row r="35" spans="2:14" x14ac:dyDescent="0.2">
      <c r="B35" t="s">
        <v>148</v>
      </c>
      <c r="C35" s="143" t="e">
        <f>-SUMIF(Budsjett!#REF!,Finansiering!#REF!,Budsjett!#REF!)-SUMIF(Budsjett!#REF!,Finansiering!#REF!,Budsjett!#REF!)</f>
        <v>#REF!</v>
      </c>
      <c r="D35" s="143" t="e">
        <f>-SUMIF(Budsjett!#REF!,Finansiering!#REF!,Budsjett!#REF!)-SUMIF(Budsjett!#REF!,Finansiering!#REF!,Budsjett!#REF!)</f>
        <v>#REF!</v>
      </c>
      <c r="E35" s="143" t="e">
        <f>-SUMIF(Budsjett!#REF!,Finansiering!#REF!,Budsjett!#REF!)-SUMIF(Budsjett!#REF!,Finansiering!#REF!,Budsjett!#REF!)</f>
        <v>#REF!</v>
      </c>
      <c r="F35" s="143" t="e">
        <f>-SUMIF(Budsjett!#REF!,Finansiering!#REF!,Budsjett!#REF!)-SUMIF(Budsjett!#REF!,Finansiering!#REF!,Budsjett!#REF!)</f>
        <v>#REF!</v>
      </c>
      <c r="G35" s="143" t="e">
        <f>-SUMIF(Budsjett!#REF!,Finansiering!#REF!,Budsjett!#REF!)-SUMIF(Budsjett!#REF!,Finansiering!#REF!,Budsjett!#REF!)</f>
        <v>#REF!</v>
      </c>
      <c r="H35" s="143" t="e">
        <f>-SUMIF(Budsjett!#REF!,Finansiering!#REF!,Budsjett!#REF!)-SUMIF(Budsjett!#REF!,Finansiering!#REF!,Budsjett!#REF!)</f>
        <v>#REF!</v>
      </c>
      <c r="I35" s="143" t="e">
        <f>-SUMIF(Budsjett!#REF!,Finansiering!#REF!,Budsjett!#REF!)-SUMIF(Budsjett!#REF!,Finansiering!#REF!,Budsjett!#REF!)</f>
        <v>#REF!</v>
      </c>
      <c r="J35" s="143" t="e">
        <f>-SUMIF(Budsjett!#REF!,Finansiering!#REF!,Budsjett!#REF!)-SUMIF(Budsjett!#REF!,Finansiering!#REF!,Budsjett!#REF!)</f>
        <v>#REF!</v>
      </c>
      <c r="K35" s="143" t="e">
        <f>-SUMIF(Budsjett!#REF!,Finansiering!#REF!,Budsjett!#REF!)-SUMIF(Budsjett!#REF!,Finansiering!#REF!,Budsjett!#REF!)</f>
        <v>#REF!</v>
      </c>
      <c r="L35" s="143" t="e">
        <f>-SUMIF(Budsjett!#REF!,Finansiering!#REF!,Budsjett!#REF!)-SUMIF(Budsjett!#REF!,Finansiering!#REF!,Budsjett!#REF!)</f>
        <v>#REF!</v>
      </c>
      <c r="M35" s="143" t="e">
        <f t="shared" si="9"/>
        <v>#REF!</v>
      </c>
      <c r="N35" s="131" t="e">
        <f t="shared" si="10"/>
        <v>#REF!</v>
      </c>
    </row>
    <row r="36" spans="2:14" x14ac:dyDescent="0.2">
      <c r="B36" t="s">
        <v>149</v>
      </c>
      <c r="C36" s="143" t="e">
        <f>-Budsjett!#REF!-SUM(C31:C35)-C37</f>
        <v>#REF!</v>
      </c>
      <c r="D36" s="143" t="e">
        <f>-Budsjett!#REF!-SUM(D31:D35)-D37</f>
        <v>#REF!</v>
      </c>
      <c r="E36" s="143" t="e">
        <f>-Budsjett!#REF!-SUM(E31:E35)-E37</f>
        <v>#REF!</v>
      </c>
      <c r="F36" s="143" t="e">
        <f>-Budsjett!#REF!-SUM(F31:F35)-F37</f>
        <v>#REF!</v>
      </c>
      <c r="G36" s="143" t="e">
        <f>-Budsjett!#REF!-SUM(G31:G35)-G37</f>
        <v>#REF!</v>
      </c>
      <c r="H36" s="143" t="e">
        <f>-Budsjett!#REF!-SUM(H31:H35)-H37</f>
        <v>#REF!</v>
      </c>
      <c r="I36" s="143" t="e">
        <f>-Budsjett!#REF!-SUM(I31:I35)-I37</f>
        <v>#REF!</v>
      </c>
      <c r="J36" s="143" t="e">
        <f>-Budsjett!#REF!-SUM(J31:J35)-J37</f>
        <v>#REF!</v>
      </c>
      <c r="K36" s="143" t="e">
        <f>-Budsjett!#REF!-SUM(K31:K35)-K37</f>
        <v>#REF!</v>
      </c>
      <c r="L36" s="143" t="e">
        <f>-Budsjett!#REF!-SUM(L31:L35)-L37</f>
        <v>#REF!</v>
      </c>
      <c r="M36" s="143" t="e">
        <f t="shared" si="9"/>
        <v>#REF!</v>
      </c>
      <c r="N36" s="131" t="e">
        <f t="shared" si="10"/>
        <v>#REF!</v>
      </c>
    </row>
    <row r="37" spans="2:14" x14ac:dyDescent="0.2">
      <c r="B37" t="s">
        <v>150</v>
      </c>
      <c r="C37" s="143" t="e">
        <f>-SUMIF(Budsjett!#REF!,Finansiering!#REF!,Budsjett!#REF!)-SUMIF(Budsjett!#REF!,Finansiering!#REF!,Budsjett!#REF!)</f>
        <v>#REF!</v>
      </c>
      <c r="D37" s="143" t="e">
        <f>-SUMIF(Budsjett!#REF!,Finansiering!#REF!,Budsjett!#REF!)-SUMIF(Budsjett!#REF!,Finansiering!#REF!,Budsjett!#REF!)</f>
        <v>#REF!</v>
      </c>
      <c r="E37" s="143" t="e">
        <f>-SUMIF(Budsjett!#REF!,Finansiering!#REF!,Budsjett!#REF!)-SUMIF(Budsjett!#REF!,Finansiering!#REF!,Budsjett!#REF!)</f>
        <v>#REF!</v>
      </c>
      <c r="F37" s="143" t="e">
        <f>-SUMIF(Budsjett!#REF!,Finansiering!#REF!,Budsjett!#REF!)-SUMIF(Budsjett!#REF!,Finansiering!#REF!,Budsjett!#REF!)</f>
        <v>#REF!</v>
      </c>
      <c r="G37" s="143" t="e">
        <f>-SUMIF(Budsjett!#REF!,Finansiering!#REF!,Budsjett!#REF!)-SUMIF(Budsjett!#REF!,Finansiering!#REF!,Budsjett!#REF!)</f>
        <v>#REF!</v>
      </c>
      <c r="H37" s="143" t="e">
        <f>-SUMIF(Budsjett!#REF!,Finansiering!#REF!,Budsjett!#REF!)-SUMIF(Budsjett!#REF!,Finansiering!#REF!,Budsjett!#REF!)</f>
        <v>#REF!</v>
      </c>
      <c r="I37" s="143" t="e">
        <f>-SUMIF(Budsjett!#REF!,Finansiering!#REF!,Budsjett!#REF!)-SUMIF(Budsjett!#REF!,Finansiering!#REF!,Budsjett!#REF!)</f>
        <v>#REF!</v>
      </c>
      <c r="J37" s="143" t="e">
        <f>-SUMIF(Budsjett!#REF!,Finansiering!#REF!,Budsjett!#REF!)-SUMIF(Budsjett!#REF!,Finansiering!#REF!,Budsjett!#REF!)</f>
        <v>#REF!</v>
      </c>
      <c r="K37" s="143" t="e">
        <f>-SUMIF(Budsjett!#REF!,Finansiering!#REF!,Budsjett!#REF!)-SUMIF(Budsjett!#REF!,Finansiering!#REF!,Budsjett!#REF!)</f>
        <v>#REF!</v>
      </c>
      <c r="L37" s="143" t="e">
        <f>-SUMIF(Budsjett!#REF!,Finansiering!#REF!,Budsjett!#REF!)-SUMIF(Budsjett!#REF!,Finansiering!#REF!,Budsjett!#REF!)</f>
        <v>#REF!</v>
      </c>
      <c r="M37" s="143" t="e">
        <f t="shared" si="9"/>
        <v>#REF!</v>
      </c>
      <c r="N37" s="131" t="e">
        <f t="shared" si="10"/>
        <v>#REF!</v>
      </c>
    </row>
    <row r="38" spans="2:14" ht="15" x14ac:dyDescent="0.25">
      <c r="B38" s="31" t="s">
        <v>151</v>
      </c>
      <c r="C38" s="132" t="e">
        <f t="shared" ref="C38:M38" si="11">SUM(C31:C37)</f>
        <v>#REF!</v>
      </c>
      <c r="D38" s="132" t="e">
        <f t="shared" si="11"/>
        <v>#REF!</v>
      </c>
      <c r="E38" s="132" t="e">
        <f t="shared" si="11"/>
        <v>#REF!</v>
      </c>
      <c r="F38" s="132" t="e">
        <f t="shared" si="11"/>
        <v>#REF!</v>
      </c>
      <c r="G38" s="132" t="e">
        <f t="shared" si="11"/>
        <v>#REF!</v>
      </c>
      <c r="H38" s="132" t="e">
        <f t="shared" si="11"/>
        <v>#REF!</v>
      </c>
      <c r="I38" s="132" t="e">
        <f t="shared" si="11"/>
        <v>#REF!</v>
      </c>
      <c r="J38" s="132" t="e">
        <f t="shared" si="11"/>
        <v>#REF!</v>
      </c>
      <c r="K38" s="132" t="e">
        <f t="shared" si="11"/>
        <v>#REF!</v>
      </c>
      <c r="L38" s="132" t="e">
        <f t="shared" si="11"/>
        <v>#REF!</v>
      </c>
      <c r="M38" s="132" t="e">
        <f t="shared" si="11"/>
        <v>#REF!</v>
      </c>
      <c r="N38" s="132" t="e">
        <f>SUM(N31:N37)</f>
        <v>#REF!</v>
      </c>
    </row>
    <row r="39" spans="2:14" x14ac:dyDescent="0.2">
      <c r="B39" t="s">
        <v>127</v>
      </c>
      <c r="C39" s="131" t="e">
        <f>-Budsjett!#REF!-Budsjett!#REF!</f>
        <v>#REF!</v>
      </c>
      <c r="D39" s="131" t="e">
        <f>-Budsjett!#REF!-Budsjett!#REF!</f>
        <v>#REF!</v>
      </c>
      <c r="E39" s="131" t="e">
        <f>-Budsjett!#REF!-Budsjett!#REF!</f>
        <v>#REF!</v>
      </c>
      <c r="F39" s="131" t="e">
        <f>-Budsjett!#REF!-Budsjett!#REF!</f>
        <v>#REF!</v>
      </c>
      <c r="G39" s="131" t="e">
        <f>-Budsjett!#REF!-Budsjett!#REF!</f>
        <v>#REF!</v>
      </c>
      <c r="H39" s="131" t="e">
        <f>-Budsjett!#REF!-Budsjett!#REF!</f>
        <v>#REF!</v>
      </c>
      <c r="I39" s="131" t="e">
        <f>-Budsjett!#REF!-Budsjett!#REF!</f>
        <v>#REF!</v>
      </c>
      <c r="J39" s="131" t="e">
        <f>-Budsjett!#REF!-Budsjett!#REF!</f>
        <v>#REF!</v>
      </c>
      <c r="K39" s="131" t="e">
        <f>-Budsjett!#REF!-Budsjett!#REF!</f>
        <v>#REF!</v>
      </c>
      <c r="L39" s="131" t="e">
        <f>-Budsjett!#REF!-Budsjett!#REF!</f>
        <v>#REF!</v>
      </c>
      <c r="M39" s="143" t="e">
        <f t="shared" si="9"/>
        <v>#REF!</v>
      </c>
      <c r="N39" s="131" t="e">
        <f>SUM(C39:L39)</f>
        <v>#REF!</v>
      </c>
    </row>
    <row r="40" spans="2:14" x14ac:dyDescent="0.2">
      <c r="B40" t="s">
        <v>128</v>
      </c>
      <c r="C40" s="131" t="e">
        <f>Budsjett!F49+Budsjett!#REF!</f>
        <v>#REF!</v>
      </c>
      <c r="D40" s="131" t="e">
        <f>Budsjett!G49+Budsjett!#REF!</f>
        <v>#REF!</v>
      </c>
      <c r="E40" s="131" t="e">
        <f>Budsjett!H49+Budsjett!#REF!</f>
        <v>#REF!</v>
      </c>
      <c r="F40" s="131" t="e">
        <f>Budsjett!I49+Budsjett!#REF!</f>
        <v>#REF!</v>
      </c>
      <c r="G40" s="131" t="e">
        <f>Budsjett!#REF!+Budsjett!#REF!</f>
        <v>#REF!</v>
      </c>
      <c r="H40" s="131" t="e">
        <f>Budsjett!#REF!+Budsjett!#REF!</f>
        <v>#REF!</v>
      </c>
      <c r="I40" s="131" t="e">
        <f>Budsjett!#REF!+Budsjett!#REF!</f>
        <v>#REF!</v>
      </c>
      <c r="J40" s="131" t="e">
        <f>Budsjett!#REF!+Budsjett!#REF!</f>
        <v>#REF!</v>
      </c>
      <c r="K40" s="131" t="e">
        <f>Budsjett!#REF!+Budsjett!#REF!</f>
        <v>#REF!</v>
      </c>
      <c r="L40" s="131" t="e">
        <f>Budsjett!#REF!+Budsjett!#REF!</f>
        <v>#REF!</v>
      </c>
      <c r="M40" s="131" t="e">
        <f>Budsjett!J48+Budsjett!J49+Budsjett!#REF!</f>
        <v>#REF!</v>
      </c>
      <c r="N40" s="131" t="e">
        <f>SUM(C40:L40)</f>
        <v>#REF!</v>
      </c>
    </row>
    <row r="41" spans="2:14" x14ac:dyDescent="0.2">
      <c r="B41" t="s">
        <v>129</v>
      </c>
      <c r="C41" s="131" t="e">
        <f>-SUM(Budsjett!#REF!)</f>
        <v>#REF!</v>
      </c>
      <c r="D41" s="131" t="e">
        <f>-SUM(Budsjett!#REF!)</f>
        <v>#REF!</v>
      </c>
      <c r="E41" s="131" t="e">
        <f>-SUM(Budsjett!#REF!)</f>
        <v>#REF!</v>
      </c>
      <c r="F41" s="131" t="e">
        <f>-SUM(Budsjett!#REF!)</f>
        <v>#REF!</v>
      </c>
      <c r="G41" s="131" t="e">
        <f>-SUM(Budsjett!#REF!)</f>
        <v>#REF!</v>
      </c>
      <c r="H41" s="131" t="e">
        <f>-SUM(Budsjett!#REF!)</f>
        <v>#REF!</v>
      </c>
      <c r="I41" s="131" t="e">
        <f>-SUM(Budsjett!#REF!)</f>
        <v>#REF!</v>
      </c>
      <c r="J41" s="131" t="e">
        <f>-SUM(Budsjett!#REF!)</f>
        <v>#REF!</v>
      </c>
      <c r="K41" s="131" t="e">
        <f>-SUM(Budsjett!#REF!)</f>
        <v>#REF!</v>
      </c>
      <c r="L41" s="131" t="e">
        <f>-SUM(Budsjett!#REF!)</f>
        <v>#REF!</v>
      </c>
      <c r="M41" s="143" t="e">
        <f t="shared" si="9"/>
        <v>#REF!</v>
      </c>
      <c r="N41" s="131" t="e">
        <f>SUM(C41:L41)</f>
        <v>#REF!</v>
      </c>
    </row>
    <row r="42" spans="2:14" ht="15" x14ac:dyDescent="0.25">
      <c r="B42" s="31" t="s">
        <v>142</v>
      </c>
      <c r="C42" s="132" t="e">
        <f>SUM(C38:C41)</f>
        <v>#REF!</v>
      </c>
      <c r="D42" s="132" t="e">
        <f t="shared" ref="D42:M42" si="12">SUM(D38:D41)</f>
        <v>#REF!</v>
      </c>
      <c r="E42" s="132" t="e">
        <f t="shared" si="12"/>
        <v>#REF!</v>
      </c>
      <c r="F42" s="132" t="e">
        <f t="shared" si="12"/>
        <v>#REF!</v>
      </c>
      <c r="G42" s="132" t="e">
        <f t="shared" si="12"/>
        <v>#REF!</v>
      </c>
      <c r="H42" s="132" t="e">
        <f t="shared" si="12"/>
        <v>#REF!</v>
      </c>
      <c r="I42" s="132" t="e">
        <f t="shared" si="12"/>
        <v>#REF!</v>
      </c>
      <c r="J42" s="132" t="e">
        <f t="shared" si="12"/>
        <v>#REF!</v>
      </c>
      <c r="K42" s="132" t="e">
        <f t="shared" si="12"/>
        <v>#REF!</v>
      </c>
      <c r="L42" s="132" t="e">
        <f t="shared" si="12"/>
        <v>#REF!</v>
      </c>
      <c r="M42" s="132" t="e">
        <f t="shared" si="12"/>
        <v>#REF!</v>
      </c>
      <c r="N42" s="132" t="e">
        <f>SUM(N38:N41)</f>
        <v>#REF!</v>
      </c>
    </row>
    <row r="43" spans="2:14" x14ac:dyDescent="0.2">
      <c r="B43" s="141" t="s">
        <v>237</v>
      </c>
      <c r="C43" s="142" t="e">
        <f>C42-C26</f>
        <v>#REF!</v>
      </c>
      <c r="D43" s="142" t="e">
        <f t="shared" ref="D43:N43" si="13">D42-D26</f>
        <v>#REF!</v>
      </c>
      <c r="E43" s="142" t="e">
        <f t="shared" si="13"/>
        <v>#REF!</v>
      </c>
      <c r="F43" s="142" t="e">
        <f t="shared" si="13"/>
        <v>#REF!</v>
      </c>
      <c r="G43" s="142" t="e">
        <f t="shared" si="13"/>
        <v>#REF!</v>
      </c>
      <c r="H43" s="142" t="e">
        <f t="shared" si="13"/>
        <v>#REF!</v>
      </c>
      <c r="I43" s="142" t="e">
        <f t="shared" si="13"/>
        <v>#REF!</v>
      </c>
      <c r="J43" s="142" t="e">
        <f t="shared" si="13"/>
        <v>#REF!</v>
      </c>
      <c r="K43" s="142" t="e">
        <f t="shared" si="13"/>
        <v>#REF!</v>
      </c>
      <c r="L43" s="142" t="e">
        <f t="shared" si="13"/>
        <v>#REF!</v>
      </c>
      <c r="M43" s="142"/>
      <c r="N43" s="142" t="e">
        <f t="shared" si="13"/>
        <v>#REF!</v>
      </c>
    </row>
    <row r="47" spans="2:14" x14ac:dyDescent="0.2">
      <c r="C47" s="142"/>
    </row>
  </sheetData>
  <sheetProtection password="FF04" sheet="1" objects="1" scenarios="1"/>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B1:O29"/>
  <sheetViews>
    <sheetView showGridLines="0" topLeftCell="A2" zoomScale="85" zoomScaleNormal="85" workbookViewId="0">
      <selection activeCell="C7" sqref="C7"/>
    </sheetView>
  </sheetViews>
  <sheetFormatPr defaultColWidth="9.140625" defaultRowHeight="15" x14ac:dyDescent="0.25"/>
  <cols>
    <col min="1" max="1" width="0.85546875" style="42" customWidth="1"/>
    <col min="2" max="2" width="30.85546875" style="42" customWidth="1"/>
    <col min="3" max="12" width="13.140625" style="42" customWidth="1"/>
    <col min="13" max="13" width="14" style="42" bestFit="1" customWidth="1"/>
    <col min="14" max="14" width="9.140625" style="42"/>
    <col min="15" max="15" width="9.7109375" style="42" bestFit="1" customWidth="1"/>
    <col min="16" max="16384" width="9.140625" style="42"/>
  </cols>
  <sheetData>
    <row r="1" spans="2:13" s="94" customFormat="1" x14ac:dyDescent="0.25">
      <c r="B1" s="120" t="s">
        <v>82</v>
      </c>
      <c r="C1" s="121" t="str">
        <f>IF(Registrering!$C$4="","",Registrering!$C$4)</f>
        <v/>
      </c>
      <c r="D1" s="101"/>
      <c r="E1" s="101"/>
      <c r="F1" s="101"/>
      <c r="I1" s="102"/>
      <c r="J1" s="122" t="s">
        <v>85</v>
      </c>
      <c r="K1" s="99" t="str">
        <f>IF(Registrering!$C$18="","na",Registrering!$C$18)</f>
        <v>na</v>
      </c>
      <c r="M1" s="161" t="s">
        <v>182</v>
      </c>
    </row>
    <row r="2" spans="2:13" s="94" customFormat="1" x14ac:dyDescent="0.25">
      <c r="B2" s="119" t="s">
        <v>83</v>
      </c>
      <c r="C2" s="97" t="str">
        <f>IF(Registrering!C8="","na",Registrering!C8)</f>
        <v>na</v>
      </c>
      <c r="D2" s="101"/>
      <c r="E2" s="103"/>
      <c r="F2" s="103"/>
      <c r="I2" s="102"/>
      <c r="J2" s="122" t="s">
        <v>86</v>
      </c>
      <c r="K2" s="99" t="str">
        <f>IF(Registrering!$C$19="","na",Registrering!$C$19)</f>
        <v>na</v>
      </c>
      <c r="M2" s="83"/>
    </row>
    <row r="3" spans="2:13" s="94" customFormat="1" x14ac:dyDescent="0.25">
      <c r="B3" s="119" t="s">
        <v>84</v>
      </c>
      <c r="C3" s="98" t="str">
        <f>IF(Registrering!$C$9="","na",Registrering!$C$9)</f>
        <v>na</v>
      </c>
      <c r="D3" s="101"/>
      <c r="E3" s="103"/>
      <c r="F3" s="101"/>
      <c r="H3" s="104"/>
      <c r="I3" s="96"/>
      <c r="J3" s="123" t="s">
        <v>99</v>
      </c>
      <c r="K3" s="105" t="str">
        <f>Registrering!C27</f>
        <v>Prosjekter som foregår i UiOs lokaler</v>
      </c>
    </row>
    <row r="4" spans="2:13" s="94" customFormat="1" x14ac:dyDescent="0.25">
      <c r="B4" s="119" t="s">
        <v>87</v>
      </c>
      <c r="C4" s="101" t="str">
        <f>Registrering!C24</f>
        <v>651000 - 651998 EU  Horizon 2020</v>
      </c>
      <c r="D4" s="101"/>
      <c r="E4" s="103"/>
      <c r="F4" s="101"/>
      <c r="H4" s="104"/>
      <c r="J4" s="123" t="s">
        <v>100</v>
      </c>
      <c r="K4" s="105" t="str">
        <f>Registrering!C26</f>
        <v>Fast beløp</v>
      </c>
    </row>
    <row r="5" spans="2:13" s="94" customFormat="1" x14ac:dyDescent="0.25">
      <c r="B5" s="104"/>
      <c r="C5" s="81"/>
      <c r="E5" s="104"/>
      <c r="K5" s="105" t="str">
        <f>Registrering!C25</f>
        <v>Kostnadsspesifikk</v>
      </c>
      <c r="L5" s="96"/>
    </row>
    <row r="6" spans="2:13" x14ac:dyDescent="0.25">
      <c r="B6" s="59"/>
      <c r="C6" s="81"/>
      <c r="E6" s="59"/>
      <c r="K6" s="59"/>
    </row>
    <row r="7" spans="2:13" ht="45" x14ac:dyDescent="0.25">
      <c r="B7" s="118" t="s">
        <v>116</v>
      </c>
      <c r="C7" s="29" t="str">
        <f>Budsjett!F3</f>
        <v>Periode 1 (1-18 month)</v>
      </c>
      <c r="D7" s="29" t="str">
        <f>Budsjett!G3</f>
        <v>Periode 2 (19-36 month)</v>
      </c>
      <c r="E7" s="29" t="str">
        <f>Budsjett!H3</f>
        <v>Periode 3 (37-54 month)</v>
      </c>
      <c r="F7" s="29" t="str">
        <f>Budsjett!I3</f>
        <v>Periode 4 (55-60 (72) month)</v>
      </c>
      <c r="G7" s="29" t="e">
        <f>Budsjett!#REF!</f>
        <v>#REF!</v>
      </c>
      <c r="H7" s="29" t="e">
        <f>Budsjett!#REF!</f>
        <v>#REF!</v>
      </c>
      <c r="I7" s="29" t="e">
        <f>Budsjett!#REF!</f>
        <v>#REF!</v>
      </c>
      <c r="J7" s="29" t="e">
        <f>Budsjett!#REF!</f>
        <v>#REF!</v>
      </c>
      <c r="K7" s="29" t="e">
        <f>Budsjett!#REF!</f>
        <v>#REF!</v>
      </c>
      <c r="L7" s="29" t="e">
        <f>Budsjett!#REF!</f>
        <v>#REF!</v>
      </c>
      <c r="M7" s="29" t="s">
        <v>76</v>
      </c>
    </row>
    <row r="8" spans="2:13" x14ac:dyDescent="0.25">
      <c r="B8" s="57" t="s">
        <v>49</v>
      </c>
      <c r="C8" s="35">
        <f>Budsjett!F56</f>
        <v>0</v>
      </c>
      <c r="D8" s="35">
        <f>Budsjett!G56</f>
        <v>0</v>
      </c>
      <c r="E8" s="35">
        <f>Budsjett!H56</f>
        <v>0</v>
      </c>
      <c r="F8" s="35">
        <f>Budsjett!I56</f>
        <v>0</v>
      </c>
      <c r="G8" s="35" t="e">
        <f>Budsjett!#REF!</f>
        <v>#REF!</v>
      </c>
      <c r="H8" s="35" t="e">
        <f>Budsjett!#REF!</f>
        <v>#REF!</v>
      </c>
      <c r="I8" s="35" t="e">
        <f>Budsjett!#REF!</f>
        <v>#REF!</v>
      </c>
      <c r="J8" s="35" t="e">
        <f>Budsjett!#REF!</f>
        <v>#REF!</v>
      </c>
      <c r="K8" s="35" t="e">
        <f>Budsjett!#REF!</f>
        <v>#REF!</v>
      </c>
      <c r="L8" s="35" t="e">
        <f>Budsjett!#REF!</f>
        <v>#REF!</v>
      </c>
      <c r="M8" s="34" t="e">
        <f t="shared" ref="M8:M15" si="0">SUM(C8:L8)</f>
        <v>#REF!</v>
      </c>
    </row>
    <row r="9" spans="2:13" x14ac:dyDescent="0.25">
      <c r="B9" s="133" t="s">
        <v>152</v>
      </c>
      <c r="C9" s="35">
        <f>Budsjett!F52</f>
        <v>0</v>
      </c>
      <c r="D9" s="35">
        <f>Budsjett!G52</f>
        <v>0</v>
      </c>
      <c r="E9" s="35">
        <f>Budsjett!H52</f>
        <v>0</v>
      </c>
      <c r="F9" s="35">
        <f>Budsjett!I52</f>
        <v>0</v>
      </c>
      <c r="G9" s="35" t="e">
        <f>Budsjett!#REF!</f>
        <v>#REF!</v>
      </c>
      <c r="H9" s="35" t="e">
        <f>Budsjett!#REF!</f>
        <v>#REF!</v>
      </c>
      <c r="I9" s="35" t="e">
        <f>Budsjett!#REF!</f>
        <v>#REF!</v>
      </c>
      <c r="J9" s="35" t="e">
        <f>Budsjett!#REF!</f>
        <v>#REF!</v>
      </c>
      <c r="K9" s="35" t="e">
        <f>Budsjett!#REF!</f>
        <v>#REF!</v>
      </c>
      <c r="L9" s="35" t="e">
        <f>Budsjett!#REF!</f>
        <v>#REF!</v>
      </c>
      <c r="M9" s="34" t="e">
        <f t="shared" si="0"/>
        <v>#REF!</v>
      </c>
    </row>
    <row r="10" spans="2:13" x14ac:dyDescent="0.25">
      <c r="B10" s="57" t="s">
        <v>6</v>
      </c>
      <c r="C10" s="35">
        <f>Budsjett!F57</f>
        <v>0</v>
      </c>
      <c r="D10" s="35">
        <f>Budsjett!G57</f>
        <v>0</v>
      </c>
      <c r="E10" s="35">
        <f>Budsjett!H57</f>
        <v>0</v>
      </c>
      <c r="F10" s="35">
        <f>Budsjett!I57</f>
        <v>0</v>
      </c>
      <c r="G10" s="35" t="e">
        <f>Budsjett!#REF!</f>
        <v>#REF!</v>
      </c>
      <c r="H10" s="35" t="e">
        <f>Budsjett!#REF!</f>
        <v>#REF!</v>
      </c>
      <c r="I10" s="35" t="e">
        <f>Budsjett!#REF!</f>
        <v>#REF!</v>
      </c>
      <c r="J10" s="35" t="e">
        <f>Budsjett!#REF!</f>
        <v>#REF!</v>
      </c>
      <c r="K10" s="35" t="e">
        <f>Budsjett!#REF!</f>
        <v>#REF!</v>
      </c>
      <c r="L10" s="35" t="e">
        <f>Budsjett!#REF!</f>
        <v>#REF!</v>
      </c>
      <c r="M10" s="34" t="e">
        <f t="shared" si="0"/>
        <v>#REF!</v>
      </c>
    </row>
    <row r="11" spans="2:13" x14ac:dyDescent="0.25">
      <c r="B11" s="31" t="s">
        <v>123</v>
      </c>
      <c r="C11" s="32">
        <f>SUM(C8:C10)</f>
        <v>0</v>
      </c>
      <c r="D11" s="32">
        <f t="shared" ref="D11:L11" si="1">SUM(D8:D10)</f>
        <v>0</v>
      </c>
      <c r="E11" s="32">
        <f t="shared" si="1"/>
        <v>0</v>
      </c>
      <c r="F11" s="32">
        <f t="shared" si="1"/>
        <v>0</v>
      </c>
      <c r="G11" s="32" t="e">
        <f t="shared" si="1"/>
        <v>#REF!</v>
      </c>
      <c r="H11" s="32" t="e">
        <f t="shared" si="1"/>
        <v>#REF!</v>
      </c>
      <c r="I11" s="32" t="e">
        <f t="shared" si="1"/>
        <v>#REF!</v>
      </c>
      <c r="J11" s="32" t="e">
        <f t="shared" si="1"/>
        <v>#REF!</v>
      </c>
      <c r="K11" s="32" t="e">
        <f t="shared" si="1"/>
        <v>#REF!</v>
      </c>
      <c r="L11" s="32" t="e">
        <f t="shared" si="1"/>
        <v>#REF!</v>
      </c>
      <c r="M11" s="32" t="e">
        <f t="shared" si="0"/>
        <v>#REF!</v>
      </c>
    </row>
    <row r="12" spans="2:13" x14ac:dyDescent="0.25">
      <c r="B12" s="57" t="s">
        <v>51</v>
      </c>
      <c r="C12" s="35" t="e">
        <f>Budsjett!AL12+Budsjett!AL41+Budsjett!#REF!</f>
        <v>#REF!</v>
      </c>
      <c r="D12" s="35" t="e">
        <f>Budsjett!AM12+Budsjett!AM41+Budsjett!#REF!</f>
        <v>#REF!</v>
      </c>
      <c r="E12" s="35" t="e">
        <f>Budsjett!AN12+Budsjett!AN41+Budsjett!#REF!</f>
        <v>#REF!</v>
      </c>
      <c r="F12" s="35" t="e">
        <f>Budsjett!AO12+Budsjett!AO41+Budsjett!#REF!</f>
        <v>#REF!</v>
      </c>
      <c r="G12" s="35" t="e">
        <f>Budsjett!#REF!+Budsjett!#REF!+Budsjett!#REF!</f>
        <v>#REF!</v>
      </c>
      <c r="H12" s="35" t="e">
        <f>Budsjett!#REF!+Budsjett!#REF!+Budsjett!#REF!</f>
        <v>#REF!</v>
      </c>
      <c r="I12" s="35" t="e">
        <f>Budsjett!#REF!+Budsjett!#REF!+Budsjett!#REF!</f>
        <v>#REF!</v>
      </c>
      <c r="J12" s="35" t="e">
        <f>Budsjett!#REF!+Budsjett!#REF!+Budsjett!#REF!</f>
        <v>#REF!</v>
      </c>
      <c r="K12" s="35" t="e">
        <f>Budsjett!#REF!+Budsjett!#REF!+Budsjett!#REF!</f>
        <v>#REF!</v>
      </c>
      <c r="L12" s="35" t="e">
        <f>Budsjett!#REF!+Budsjett!#REF!+Budsjett!#REF!</f>
        <v>#REF!</v>
      </c>
      <c r="M12" s="34" t="e">
        <f t="shared" si="0"/>
        <v>#REF!</v>
      </c>
    </row>
    <row r="13" spans="2:13" x14ac:dyDescent="0.25">
      <c r="B13" s="170" t="s">
        <v>201</v>
      </c>
      <c r="C13" s="35">
        <f>Budsjett!AL20+Budsjett!AL35</f>
        <v>0</v>
      </c>
      <c r="D13" s="35">
        <f>Budsjett!AM20+Budsjett!AM35</f>
        <v>0</v>
      </c>
      <c r="E13" s="35">
        <f>Budsjett!AN20+Budsjett!AN35</f>
        <v>0</v>
      </c>
      <c r="F13" s="35">
        <f>Budsjett!AO20+Budsjett!AO35</f>
        <v>0</v>
      </c>
      <c r="G13" s="35" t="e">
        <f>Budsjett!#REF!+Budsjett!#REF!</f>
        <v>#REF!</v>
      </c>
      <c r="H13" s="35" t="e">
        <f>Budsjett!#REF!+Budsjett!#REF!</f>
        <v>#REF!</v>
      </c>
      <c r="I13" s="35" t="e">
        <f>Budsjett!#REF!+Budsjett!#REF!</f>
        <v>#REF!</v>
      </c>
      <c r="J13" s="35" t="e">
        <f>Budsjett!#REF!+Budsjett!#REF!</f>
        <v>#REF!</v>
      </c>
      <c r="K13" s="35" t="e">
        <f>Budsjett!#REF!+Budsjett!#REF!</f>
        <v>#REF!</v>
      </c>
      <c r="L13" s="35" t="e">
        <f>Budsjett!#REF!+Budsjett!#REF!</f>
        <v>#REF!</v>
      </c>
      <c r="M13" s="34" t="e">
        <f t="shared" si="0"/>
        <v>#REF!</v>
      </c>
    </row>
    <row r="14" spans="2:13" x14ac:dyDescent="0.25">
      <c r="B14" s="170" t="s">
        <v>60</v>
      </c>
      <c r="C14" s="35">
        <f>Budsjett!AW42+Budsjett!BC42</f>
        <v>0</v>
      </c>
      <c r="D14" s="35">
        <f>Budsjett!AX42+Budsjett!BD42</f>
        <v>0</v>
      </c>
      <c r="E14" s="35">
        <f>Budsjett!AY42+Budsjett!BE42</f>
        <v>0</v>
      </c>
      <c r="F14" s="35">
        <f>Budsjett!AZ42+Budsjett!BF42</f>
        <v>0</v>
      </c>
      <c r="G14" s="35" t="e">
        <f>Budsjett!#REF!+Budsjett!#REF!</f>
        <v>#REF!</v>
      </c>
      <c r="H14" s="35" t="e">
        <f>Budsjett!#REF!+Budsjett!#REF!</f>
        <v>#REF!</v>
      </c>
      <c r="I14" s="35" t="e">
        <f>Budsjett!#REF!+Budsjett!#REF!</f>
        <v>#REF!</v>
      </c>
      <c r="J14" s="35" t="e">
        <f>Budsjett!#REF!+Budsjett!#REF!</f>
        <v>#REF!</v>
      </c>
      <c r="K14" s="35" t="e">
        <f>Budsjett!#REF!+Budsjett!#REF!</f>
        <v>#REF!</v>
      </c>
      <c r="L14" s="35" t="e">
        <f>Budsjett!#REF!+Budsjett!#REF!</f>
        <v>#REF!</v>
      </c>
      <c r="M14" s="34" t="e">
        <f t="shared" si="0"/>
        <v>#REF!</v>
      </c>
    </row>
    <row r="15" spans="2:13" x14ac:dyDescent="0.25">
      <c r="B15" s="115" t="s">
        <v>122</v>
      </c>
      <c r="C15" s="35">
        <f>Budsjett!F53</f>
        <v>0</v>
      </c>
      <c r="D15" s="35">
        <f>Budsjett!G53</f>
        <v>0</v>
      </c>
      <c r="E15" s="35">
        <f>Budsjett!H53</f>
        <v>0</v>
      </c>
      <c r="F15" s="35">
        <f>Budsjett!I53</f>
        <v>0</v>
      </c>
      <c r="G15" s="35" t="e">
        <f>Budsjett!#REF!</f>
        <v>#REF!</v>
      </c>
      <c r="H15" s="35" t="e">
        <f>Budsjett!#REF!</f>
        <v>#REF!</v>
      </c>
      <c r="I15" s="35" t="e">
        <f>Budsjett!#REF!</f>
        <v>#REF!</v>
      </c>
      <c r="J15" s="35" t="e">
        <f>Budsjett!#REF!</f>
        <v>#REF!</v>
      </c>
      <c r="K15" s="35" t="e">
        <f>Budsjett!#REF!</f>
        <v>#REF!</v>
      </c>
      <c r="L15" s="35" t="e">
        <f>Budsjett!#REF!</f>
        <v>#REF!</v>
      </c>
      <c r="M15" s="34" t="e">
        <f t="shared" si="0"/>
        <v>#REF!</v>
      </c>
    </row>
    <row r="16" spans="2:13" x14ac:dyDescent="0.25">
      <c r="B16" s="115" t="s">
        <v>117</v>
      </c>
      <c r="C16" s="35">
        <f>Budsjett!F48+Budsjett!F49</f>
        <v>0</v>
      </c>
      <c r="D16" s="35">
        <f>Budsjett!G48+Budsjett!G49</f>
        <v>0</v>
      </c>
      <c r="E16" s="35">
        <f>Budsjett!H48+Budsjett!H49</f>
        <v>0</v>
      </c>
      <c r="F16" s="35">
        <f>Budsjett!I48+Budsjett!I49</f>
        <v>0</v>
      </c>
      <c r="G16" s="35" t="e">
        <f>Budsjett!#REF!+Budsjett!#REF!</f>
        <v>#REF!</v>
      </c>
      <c r="H16" s="35" t="e">
        <f>Budsjett!#REF!+Budsjett!#REF!</f>
        <v>#REF!</v>
      </c>
      <c r="I16" s="35" t="e">
        <f>Budsjett!#REF!+Budsjett!#REF!</f>
        <v>#REF!</v>
      </c>
      <c r="J16" s="35" t="e">
        <f>Budsjett!#REF!+Budsjett!#REF!</f>
        <v>#REF!</v>
      </c>
      <c r="K16" s="35" t="e">
        <f>Budsjett!#REF!+Budsjett!#REF!</f>
        <v>#REF!</v>
      </c>
      <c r="L16" s="35" t="e">
        <f>Budsjett!#REF!+Budsjett!#REF!</f>
        <v>#REF!</v>
      </c>
      <c r="M16" s="34" t="e">
        <f>SUM(C16:L16)</f>
        <v>#REF!</v>
      </c>
    </row>
    <row r="17" spans="2:15" x14ac:dyDescent="0.25">
      <c r="B17" s="57" t="s">
        <v>53</v>
      </c>
      <c r="C17" s="35" t="e">
        <f>Budsjett!#REF!+Budsjett!F45+Budsjett!F46+Budsjett!F47+Budsjett!F51</f>
        <v>#REF!</v>
      </c>
      <c r="D17" s="35" t="e">
        <f>Budsjett!#REF!+Budsjett!G45+Budsjett!G46+Budsjett!G47+Budsjett!G51</f>
        <v>#REF!</v>
      </c>
      <c r="E17" s="35" t="e">
        <f>Budsjett!#REF!+Budsjett!H45+Budsjett!H46+Budsjett!H47+Budsjett!H51</f>
        <v>#REF!</v>
      </c>
      <c r="F17" s="35" t="e">
        <f>Budsjett!#REF!+Budsjett!I45+Budsjett!I46+Budsjett!I47+Budsjett!I51</f>
        <v>#REF!</v>
      </c>
      <c r="G17" s="35" t="e">
        <f>Budsjett!#REF!+Budsjett!#REF!+Budsjett!#REF!+Budsjett!#REF!+Budsjett!#REF!</f>
        <v>#REF!</v>
      </c>
      <c r="H17" s="35" t="e">
        <f>Budsjett!#REF!+Budsjett!#REF!+Budsjett!#REF!+Budsjett!#REF!+Budsjett!#REF!</f>
        <v>#REF!</v>
      </c>
      <c r="I17" s="35" t="e">
        <f>Budsjett!#REF!+Budsjett!#REF!+Budsjett!#REF!+Budsjett!#REF!+Budsjett!#REF!</f>
        <v>#REF!</v>
      </c>
      <c r="J17" s="35" t="e">
        <f>Budsjett!#REF!+Budsjett!#REF!+Budsjett!#REF!+Budsjett!#REF!+Budsjett!#REF!</f>
        <v>#REF!</v>
      </c>
      <c r="K17" s="35" t="e">
        <f>Budsjett!#REF!+Budsjett!#REF!+Budsjett!#REF!+Budsjett!#REF!+Budsjett!#REF!</f>
        <v>#REF!</v>
      </c>
      <c r="L17" s="35" t="e">
        <f>Budsjett!#REF!+Budsjett!#REF!+Budsjett!#REF!+Budsjett!#REF!+Budsjett!#REF!</f>
        <v>#REF!</v>
      </c>
      <c r="M17" s="34" t="e">
        <f>SUM(C17:L17)</f>
        <v>#REF!</v>
      </c>
    </row>
    <row r="18" spans="2:15" x14ac:dyDescent="0.25">
      <c r="B18" s="31" t="s">
        <v>50</v>
      </c>
      <c r="C18" s="32" t="e">
        <f t="shared" ref="C18:L18" si="2">SUM(C12:C17)</f>
        <v>#REF!</v>
      </c>
      <c r="D18" s="32" t="e">
        <f t="shared" si="2"/>
        <v>#REF!</v>
      </c>
      <c r="E18" s="32" t="e">
        <f t="shared" si="2"/>
        <v>#REF!</v>
      </c>
      <c r="F18" s="32" t="e">
        <f t="shared" si="2"/>
        <v>#REF!</v>
      </c>
      <c r="G18" s="32" t="e">
        <f t="shared" si="2"/>
        <v>#REF!</v>
      </c>
      <c r="H18" s="32" t="e">
        <f t="shared" si="2"/>
        <v>#REF!</v>
      </c>
      <c r="I18" s="32" t="e">
        <f t="shared" si="2"/>
        <v>#REF!</v>
      </c>
      <c r="J18" s="32" t="e">
        <f t="shared" si="2"/>
        <v>#REF!</v>
      </c>
      <c r="K18" s="32" t="e">
        <f t="shared" si="2"/>
        <v>#REF!</v>
      </c>
      <c r="L18" s="32" t="e">
        <f t="shared" si="2"/>
        <v>#REF!</v>
      </c>
      <c r="M18" s="32" t="e">
        <f>SUM(C18:L18)</f>
        <v>#REF!</v>
      </c>
    </row>
    <row r="19" spans="2:15" x14ac:dyDescent="0.25">
      <c r="B19" s="31" t="s">
        <v>124</v>
      </c>
      <c r="C19" s="32" t="e">
        <f t="shared" ref="C19:M19" si="3">C18+C11</f>
        <v>#REF!</v>
      </c>
      <c r="D19" s="32" t="e">
        <f t="shared" si="3"/>
        <v>#REF!</v>
      </c>
      <c r="E19" s="32" t="e">
        <f t="shared" si="3"/>
        <v>#REF!</v>
      </c>
      <c r="F19" s="32" t="e">
        <f t="shared" si="3"/>
        <v>#REF!</v>
      </c>
      <c r="G19" s="32" t="e">
        <f t="shared" si="3"/>
        <v>#REF!</v>
      </c>
      <c r="H19" s="32" t="e">
        <f t="shared" si="3"/>
        <v>#REF!</v>
      </c>
      <c r="I19" s="32" t="e">
        <f t="shared" si="3"/>
        <v>#REF!</v>
      </c>
      <c r="J19" s="32" t="e">
        <f t="shared" si="3"/>
        <v>#REF!</v>
      </c>
      <c r="K19" s="32" t="e">
        <f t="shared" si="3"/>
        <v>#REF!</v>
      </c>
      <c r="L19" s="32" t="e">
        <f t="shared" si="3"/>
        <v>#REF!</v>
      </c>
      <c r="M19" s="32" t="e">
        <f t="shared" si="3"/>
        <v>#REF!</v>
      </c>
    </row>
    <row r="21" spans="2:15" x14ac:dyDescent="0.25">
      <c r="B21" s="30" t="s">
        <v>57</v>
      </c>
      <c r="C21" s="33">
        <f>C13+C14+C10+C16</f>
        <v>0</v>
      </c>
      <c r="D21" s="33">
        <f t="shared" ref="D21:M21" si="4">D13+D14+D10+D16</f>
        <v>0</v>
      </c>
      <c r="E21" s="33">
        <f t="shared" si="4"/>
        <v>0</v>
      </c>
      <c r="F21" s="33">
        <f t="shared" si="4"/>
        <v>0</v>
      </c>
      <c r="G21" s="33" t="e">
        <f t="shared" si="4"/>
        <v>#REF!</v>
      </c>
      <c r="H21" s="33" t="e">
        <f t="shared" si="4"/>
        <v>#REF!</v>
      </c>
      <c r="I21" s="33" t="e">
        <f t="shared" si="4"/>
        <v>#REF!</v>
      </c>
      <c r="J21" s="33" t="e">
        <f t="shared" si="4"/>
        <v>#REF!</v>
      </c>
      <c r="K21" s="33" t="e">
        <f t="shared" si="4"/>
        <v>#REF!</v>
      </c>
      <c r="L21" s="33" t="e">
        <f t="shared" si="4"/>
        <v>#REF!</v>
      </c>
      <c r="M21" s="33" t="e">
        <f t="shared" si="4"/>
        <v>#REF!</v>
      </c>
      <c r="N21" s="108"/>
    </row>
    <row r="22" spans="2:15" x14ac:dyDescent="0.25">
      <c r="B22" s="20"/>
      <c r="C22" s="20"/>
    </row>
    <row r="23" spans="2:15" x14ac:dyDescent="0.25">
      <c r="B23" s="444" t="s">
        <v>181</v>
      </c>
      <c r="C23" s="435">
        <f>Registrering!C10</f>
        <v>0</v>
      </c>
      <c r="D23" s="436"/>
      <c r="E23" s="436"/>
      <c r="F23" s="436"/>
      <c r="G23" s="436"/>
      <c r="H23" s="436"/>
      <c r="I23" s="436"/>
      <c r="J23" s="437"/>
      <c r="K23" s="68"/>
      <c r="L23" s="106" t="s">
        <v>80</v>
      </c>
      <c r="M23" s="111" t="e">
        <f>Budsjett!#REF!</f>
        <v>#REF!</v>
      </c>
    </row>
    <row r="24" spans="2:15" x14ac:dyDescent="0.25">
      <c r="B24" s="445"/>
      <c r="C24" s="438"/>
      <c r="D24" s="439"/>
      <c r="E24" s="439"/>
      <c r="F24" s="439"/>
      <c r="G24" s="439"/>
      <c r="H24" s="439"/>
      <c r="I24" s="439"/>
      <c r="J24" s="440"/>
      <c r="K24" s="68"/>
      <c r="L24" s="110" t="s">
        <v>112</v>
      </c>
      <c r="M24" s="111" t="e">
        <f>Budsjett!#REF!</f>
        <v>#REF!</v>
      </c>
      <c r="N24" s="86"/>
    </row>
    <row r="25" spans="2:15" ht="15" customHeight="1" x14ac:dyDescent="0.25">
      <c r="B25" s="446"/>
      <c r="C25" s="441"/>
      <c r="D25" s="442"/>
      <c r="E25" s="442"/>
      <c r="F25" s="442"/>
      <c r="G25" s="442"/>
      <c r="H25" s="442"/>
      <c r="I25" s="442"/>
      <c r="J25" s="443"/>
      <c r="K25" s="68"/>
      <c r="L25" s="106" t="s">
        <v>69</v>
      </c>
      <c r="M25" s="112">
        <f>IFERROR(-M10/SUM(M18:M18),0)</f>
        <v>0</v>
      </c>
      <c r="N25" s="180"/>
      <c r="O25" s="107"/>
    </row>
    <row r="26" spans="2:15" x14ac:dyDescent="0.25">
      <c r="B26" s="44" t="s">
        <v>77</v>
      </c>
      <c r="D26" s="167"/>
      <c r="F26" s="167"/>
      <c r="G26" s="167"/>
      <c r="H26" s="167"/>
      <c r="I26" s="167"/>
      <c r="J26" s="168"/>
      <c r="K26" s="59"/>
      <c r="L26" s="59"/>
      <c r="M26" s="59"/>
      <c r="O26" s="107"/>
    </row>
    <row r="27" spans="2:15" ht="36" customHeight="1" x14ac:dyDescent="0.25">
      <c r="B27" s="433"/>
      <c r="C27" s="434"/>
      <c r="D27" s="74"/>
      <c r="E27" s="82"/>
      <c r="F27" s="80"/>
      <c r="G27" s="80"/>
      <c r="H27" s="80"/>
      <c r="I27" s="166"/>
      <c r="J27" s="74"/>
      <c r="K27" s="59"/>
      <c r="L27" s="59"/>
      <c r="M27" s="59"/>
    </row>
    <row r="28" spans="2:15" x14ac:dyDescent="0.25">
      <c r="B28" s="75" t="s">
        <v>78</v>
      </c>
      <c r="C28" s="70"/>
      <c r="D28" s="74" t="s">
        <v>70</v>
      </c>
      <c r="E28" s="78" t="s">
        <v>5</v>
      </c>
      <c r="F28" s="69"/>
      <c r="G28" s="76"/>
      <c r="H28" s="76"/>
      <c r="I28" s="77"/>
      <c r="J28" s="74" t="s">
        <v>70</v>
      </c>
      <c r="K28" s="59"/>
      <c r="L28" s="59"/>
      <c r="M28" s="59"/>
    </row>
    <row r="29" spans="2:15" x14ac:dyDescent="0.25">
      <c r="B29" s="75">
        <f>Registrering!C7</f>
        <v>0</v>
      </c>
      <c r="C29" s="70"/>
      <c r="E29" s="145">
        <f>Registrering!C5</f>
        <v>0</v>
      </c>
      <c r="F29" s="168"/>
      <c r="G29" s="168"/>
      <c r="H29" s="168"/>
      <c r="I29" s="169"/>
      <c r="J29" s="74"/>
    </row>
  </sheetData>
  <sheetProtection password="FF04" sheet="1" objects="1" scenarios="1"/>
  <mergeCells count="3">
    <mergeCell ref="B23:B25"/>
    <mergeCell ref="C23:J25"/>
    <mergeCell ref="B27:C27"/>
  </mergeCells>
  <conditionalFormatting sqref="M2">
    <cfRule type="expression" dxfId="11" priority="1" stopIfTrue="1">
      <formula>#REF!="NEI"</formula>
    </cfRule>
  </conditionalFormatting>
  <pageMargins left="0.43" right="0.22" top="0.35" bottom="0.36" header="0.31496062992125984" footer="0.23622047244094491"/>
  <pageSetup paperSize="9" scale="8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2:N45"/>
  <sheetViews>
    <sheetView workbookViewId="0">
      <selection activeCell="D13" sqref="D13:D14"/>
    </sheetView>
  </sheetViews>
  <sheetFormatPr defaultRowHeight="12.75" x14ac:dyDescent="0.2"/>
  <cols>
    <col min="2" max="2" width="11.85546875" style="224" customWidth="1"/>
    <col min="3" max="3" width="8.28515625" customWidth="1"/>
    <col min="4" max="4" width="9.140625" customWidth="1"/>
    <col min="5" max="5" width="11.85546875" customWidth="1"/>
    <col min="6" max="6" width="14.7109375" customWidth="1"/>
    <col min="7" max="7" width="13.28515625" customWidth="1"/>
    <col min="8" max="8" width="14.140625" customWidth="1"/>
    <col min="9" max="9" width="13.7109375" customWidth="1"/>
    <col min="10" max="10" width="14.42578125" customWidth="1"/>
    <col min="11" max="11" width="13.85546875" customWidth="1"/>
    <col min="13" max="13" width="12.28515625" customWidth="1"/>
    <col min="14" max="14" width="10.42578125" customWidth="1"/>
  </cols>
  <sheetData>
    <row r="2" spans="2:14" x14ac:dyDescent="0.2">
      <c r="B2" s="452" t="s">
        <v>278</v>
      </c>
      <c r="C2" s="452"/>
      <c r="D2" s="452"/>
      <c r="E2" s="452"/>
    </row>
    <row r="3" spans="2:14" x14ac:dyDescent="0.2">
      <c r="B3" s="453"/>
      <c r="C3" s="453"/>
      <c r="D3" s="453"/>
      <c r="E3" s="453"/>
    </row>
    <row r="4" spans="2:14" x14ac:dyDescent="0.2">
      <c r="B4" s="456" t="s">
        <v>265</v>
      </c>
      <c r="C4" s="456" t="s">
        <v>266</v>
      </c>
      <c r="D4" s="450" t="s">
        <v>267</v>
      </c>
      <c r="E4" s="450" t="s">
        <v>268</v>
      </c>
      <c r="F4" s="450" t="s">
        <v>269</v>
      </c>
      <c r="G4" s="450" t="s">
        <v>270</v>
      </c>
      <c r="H4" s="458" t="s">
        <v>271</v>
      </c>
      <c r="I4" s="450" t="s">
        <v>272</v>
      </c>
      <c r="J4" s="450" t="s">
        <v>273</v>
      </c>
      <c r="K4" s="450" t="s">
        <v>274</v>
      </c>
      <c r="L4" s="450" t="s">
        <v>275</v>
      </c>
      <c r="M4" s="450" t="s">
        <v>276</v>
      </c>
      <c r="N4" s="450" t="s">
        <v>277</v>
      </c>
    </row>
    <row r="5" spans="2:14" x14ac:dyDescent="0.2">
      <c r="B5" s="456"/>
      <c r="C5" s="456"/>
      <c r="D5" s="451"/>
      <c r="E5" s="451"/>
      <c r="F5" s="451"/>
      <c r="G5" s="451"/>
      <c r="H5" s="459"/>
      <c r="I5" s="451"/>
      <c r="J5" s="451"/>
      <c r="K5" s="451"/>
      <c r="L5" s="451"/>
      <c r="M5" s="451"/>
      <c r="N5" s="451"/>
    </row>
    <row r="6" spans="2:14" x14ac:dyDescent="0.2">
      <c r="B6" s="456"/>
      <c r="C6" s="456"/>
      <c r="D6" s="451"/>
      <c r="E6" s="451"/>
      <c r="F6" s="451"/>
      <c r="G6" s="451"/>
      <c r="H6" s="459"/>
      <c r="I6" s="451"/>
      <c r="J6" s="451"/>
      <c r="K6" s="451"/>
      <c r="L6" s="451"/>
      <c r="M6" s="451"/>
      <c r="N6" s="451"/>
    </row>
    <row r="7" spans="2:14" x14ac:dyDescent="0.2">
      <c r="B7" s="456"/>
      <c r="C7" s="456"/>
      <c r="D7" s="451"/>
      <c r="E7" s="451"/>
      <c r="F7" s="451"/>
      <c r="G7" s="451"/>
      <c r="H7" s="459"/>
      <c r="I7" s="451"/>
      <c r="J7" s="451"/>
      <c r="K7" s="451"/>
      <c r="L7" s="451"/>
      <c r="M7" s="451"/>
      <c r="N7" s="451"/>
    </row>
    <row r="8" spans="2:14" x14ac:dyDescent="0.2">
      <c r="B8" s="456"/>
      <c r="C8" s="456"/>
      <c r="D8" s="451"/>
      <c r="E8" s="451"/>
      <c r="F8" s="451"/>
      <c r="G8" s="451"/>
      <c r="H8" s="459"/>
      <c r="I8" s="451"/>
      <c r="J8" s="451"/>
      <c r="K8" s="451"/>
      <c r="L8" s="451"/>
      <c r="M8" s="451"/>
      <c r="N8" s="451"/>
    </row>
    <row r="9" spans="2:14" x14ac:dyDescent="0.2">
      <c r="B9" s="456"/>
      <c r="C9" s="456"/>
      <c r="D9" s="451"/>
      <c r="E9" s="451"/>
      <c r="F9" s="451"/>
      <c r="G9" s="451"/>
      <c r="H9" s="459"/>
      <c r="I9" s="451"/>
      <c r="J9" s="451"/>
      <c r="K9" s="451"/>
      <c r="L9" s="451"/>
      <c r="M9" s="451"/>
      <c r="N9" s="451"/>
    </row>
    <row r="10" spans="2:14" x14ac:dyDescent="0.2">
      <c r="B10" s="456"/>
      <c r="C10" s="456"/>
      <c r="D10" s="451"/>
      <c r="E10" s="451"/>
      <c r="F10" s="451"/>
      <c r="G10" s="451"/>
      <c r="H10" s="459"/>
      <c r="I10" s="451"/>
      <c r="J10" s="451"/>
      <c r="K10" s="451"/>
      <c r="L10" s="451"/>
      <c r="M10" s="451"/>
      <c r="N10" s="451"/>
    </row>
    <row r="11" spans="2:14" x14ac:dyDescent="0.2">
      <c r="B11" s="456"/>
      <c r="C11" s="456"/>
      <c r="D11" s="451"/>
      <c r="E11" s="451"/>
      <c r="F11" s="451"/>
      <c r="G11" s="451"/>
      <c r="H11" s="459"/>
      <c r="I11" s="451"/>
      <c r="J11" s="451"/>
      <c r="K11" s="451"/>
      <c r="L11" s="451"/>
      <c r="M11" s="451"/>
      <c r="N11" s="451"/>
    </row>
    <row r="12" spans="2:14" x14ac:dyDescent="0.2">
      <c r="B12" s="456"/>
      <c r="C12" s="456"/>
      <c r="D12" s="451"/>
      <c r="E12" s="451"/>
      <c r="F12" s="451"/>
      <c r="G12" s="451"/>
      <c r="H12" s="459"/>
      <c r="I12" s="451"/>
      <c r="J12" s="451"/>
      <c r="K12" s="451"/>
      <c r="L12" s="451"/>
      <c r="M12" s="451"/>
      <c r="N12" s="451"/>
    </row>
    <row r="13" spans="2:14" x14ac:dyDescent="0.2">
      <c r="B13" s="454"/>
      <c r="C13" s="454"/>
      <c r="D13" s="455">
        <f>IFERROR('Budget for the contract'!F8,"")</f>
        <v>0</v>
      </c>
      <c r="E13" s="455">
        <f>IFERROR(('Budget for the contract'!F10+'Budget for the contract'!F11),"")</f>
        <v>0</v>
      </c>
      <c r="F13" s="455">
        <f>IFERROR('Budget for the contract'!F13,"")</f>
        <v>0</v>
      </c>
      <c r="G13" s="457">
        <f>IFERROR(('Budget for the contract'!F14),"")</f>
        <v>0</v>
      </c>
      <c r="H13" s="462"/>
      <c r="I13" s="463">
        <f>IFERROR(((D13+E13-H13)*0.25),"")</f>
        <v>0</v>
      </c>
      <c r="J13" s="457"/>
      <c r="K13" s="467">
        <f>IFERROR((SUM(D13+E13+F13+G13+I13+J13)),"")</f>
        <v>0</v>
      </c>
      <c r="L13" s="468">
        <v>100</v>
      </c>
      <c r="M13" s="467">
        <f>IFERROR((K13*1),"")</f>
        <v>0</v>
      </c>
      <c r="N13" s="467">
        <f>M13</f>
        <v>0</v>
      </c>
    </row>
    <row r="14" spans="2:14" x14ac:dyDescent="0.2">
      <c r="B14" s="454"/>
      <c r="C14" s="454"/>
      <c r="D14" s="455"/>
      <c r="E14" s="455"/>
      <c r="F14" s="455"/>
      <c r="G14" s="457"/>
      <c r="H14" s="462"/>
      <c r="I14" s="464"/>
      <c r="J14" s="457"/>
      <c r="K14" s="457"/>
      <c r="L14" s="469"/>
      <c r="M14" s="457"/>
      <c r="N14" s="457"/>
    </row>
    <row r="15" spans="2:14" x14ac:dyDescent="0.2">
      <c r="B15" s="465" t="s">
        <v>279</v>
      </c>
      <c r="C15" s="465"/>
      <c r="D15" s="460">
        <f>D13</f>
        <v>0</v>
      </c>
      <c r="E15" s="460">
        <f t="shared" ref="E15:N15" si="0">E13</f>
        <v>0</v>
      </c>
      <c r="F15" s="460">
        <f t="shared" si="0"/>
        <v>0</v>
      </c>
      <c r="G15" s="460">
        <f t="shared" si="0"/>
        <v>0</v>
      </c>
      <c r="H15" s="460">
        <f t="shared" si="0"/>
        <v>0</v>
      </c>
      <c r="I15" s="460">
        <f t="shared" si="0"/>
        <v>0</v>
      </c>
      <c r="J15" s="460">
        <f t="shared" si="0"/>
        <v>0</v>
      </c>
      <c r="K15" s="460">
        <f t="shared" si="0"/>
        <v>0</v>
      </c>
      <c r="L15" s="460">
        <f t="shared" si="0"/>
        <v>100</v>
      </c>
      <c r="M15" s="460">
        <f t="shared" si="0"/>
        <v>0</v>
      </c>
      <c r="N15" s="460">
        <f t="shared" si="0"/>
        <v>0</v>
      </c>
    </row>
    <row r="16" spans="2:14" x14ac:dyDescent="0.2">
      <c r="B16" s="466"/>
      <c r="C16" s="466"/>
      <c r="D16" s="461"/>
      <c r="E16" s="461"/>
      <c r="F16" s="461"/>
      <c r="G16" s="461"/>
      <c r="H16" s="461"/>
      <c r="I16" s="461"/>
      <c r="J16" s="461"/>
      <c r="K16" s="461"/>
      <c r="L16" s="461"/>
      <c r="M16" s="461"/>
      <c r="N16" s="461"/>
    </row>
    <row r="17" spans="4:14" x14ac:dyDescent="0.2">
      <c r="D17" s="5"/>
      <c r="E17" s="5"/>
      <c r="F17" s="5"/>
      <c r="G17" s="5"/>
      <c r="I17" s="225"/>
      <c r="J17" s="5"/>
    </row>
    <row r="18" spans="4:14" x14ac:dyDescent="0.2">
      <c r="I18" s="225"/>
    </row>
    <row r="19" spans="4:14" x14ac:dyDescent="0.2">
      <c r="N19" s="117"/>
    </row>
    <row r="20" spans="4:14" x14ac:dyDescent="0.2">
      <c r="I20" s="324"/>
      <c r="J20" s="325"/>
    </row>
    <row r="21" spans="4:14" x14ac:dyDescent="0.2">
      <c r="I21" s="320"/>
    </row>
    <row r="45" spans="10:10" ht="15" x14ac:dyDescent="0.25">
      <c r="J45" s="174"/>
    </row>
  </sheetData>
  <sheetProtection password="FF04" sheet="1" objects="1" scenarios="1" formatColumns="0"/>
  <mergeCells count="40">
    <mergeCell ref="K15:K16"/>
    <mergeCell ref="L15:L16"/>
    <mergeCell ref="M15:M16"/>
    <mergeCell ref="N15:N16"/>
    <mergeCell ref="N13:N14"/>
    <mergeCell ref="K13:K14"/>
    <mergeCell ref="L13:L14"/>
    <mergeCell ref="M13:M14"/>
    <mergeCell ref="B15:B16"/>
    <mergeCell ref="C15:C16"/>
    <mergeCell ref="D15:D16"/>
    <mergeCell ref="E15:E16"/>
    <mergeCell ref="F15:F16"/>
    <mergeCell ref="G15:G16"/>
    <mergeCell ref="H15:H16"/>
    <mergeCell ref="I15:I16"/>
    <mergeCell ref="J15:J16"/>
    <mergeCell ref="H13:H14"/>
    <mergeCell ref="I13:I14"/>
    <mergeCell ref="J13:J14"/>
    <mergeCell ref="F13:F14"/>
    <mergeCell ref="G13:G14"/>
    <mergeCell ref="H4:H12"/>
    <mergeCell ref="I4:I12"/>
    <mergeCell ref="J4:J12"/>
    <mergeCell ref="F4:F12"/>
    <mergeCell ref="G4:G12"/>
    <mergeCell ref="B13:B14"/>
    <mergeCell ref="C13:C14"/>
    <mergeCell ref="D13:D14"/>
    <mergeCell ref="E13:E14"/>
    <mergeCell ref="B4:B12"/>
    <mergeCell ref="C4:C12"/>
    <mergeCell ref="D4:D12"/>
    <mergeCell ref="E4:E12"/>
    <mergeCell ref="N4:N12"/>
    <mergeCell ref="K4:K12"/>
    <mergeCell ref="L4:L12"/>
    <mergeCell ref="M4:M12"/>
    <mergeCell ref="B2:E3"/>
  </mergeCells>
  <pageMargins left="0.7" right="0.7" top="0.75" bottom="0.75" header="0.3" footer="0.3"/>
  <pageSetup paperSize="9" scale="7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pageSetUpPr fitToPage="1"/>
  </sheetPr>
  <dimension ref="A3:AE40"/>
  <sheetViews>
    <sheetView topLeftCell="A4" zoomScale="85" zoomScaleNormal="85" workbookViewId="0">
      <selection activeCell="F20" sqref="F20"/>
    </sheetView>
  </sheetViews>
  <sheetFormatPr defaultRowHeight="12.75" outlineLevelCol="1" x14ac:dyDescent="0.2"/>
  <cols>
    <col min="1" max="1" width="6.140625" customWidth="1"/>
    <col min="2" max="2" width="4.42578125" customWidth="1"/>
    <col min="3" max="3" width="13.5703125" customWidth="1"/>
    <col min="5" max="5" width="26.85546875" customWidth="1"/>
    <col min="6" max="6" width="23.28515625" customWidth="1" outlineLevel="1"/>
    <col min="7" max="7" width="24" customWidth="1" outlineLevel="1"/>
    <col min="8" max="8" width="26.140625" customWidth="1" outlineLevel="1"/>
    <col min="9" max="9" width="23.85546875" customWidth="1" outlineLevel="1"/>
    <col min="10" max="10" width="18.85546875" customWidth="1"/>
    <col min="11" max="11" width="12" customWidth="1"/>
    <col min="15" max="15" width="10.28515625" customWidth="1"/>
    <col min="18" max="18" width="12.5703125" customWidth="1"/>
  </cols>
  <sheetData>
    <row r="3" spans="1:31" ht="15" x14ac:dyDescent="0.25">
      <c r="A3" s="174" t="s">
        <v>203</v>
      </c>
      <c r="C3" s="230">
        <f>'Budget for the contract'!B3</f>
        <v>9.85</v>
      </c>
      <c r="D3" s="5"/>
    </row>
    <row r="5" spans="1:31" ht="13.5" thickBot="1" x14ac:dyDescent="0.25">
      <c r="A5" s="498" t="s">
        <v>264</v>
      </c>
      <c r="B5" s="499"/>
      <c r="C5" s="499"/>
      <c r="D5" s="499"/>
      <c r="E5" s="500"/>
    </row>
    <row r="6" spans="1:31" ht="15.75" customHeight="1" thickTop="1" thickBot="1" x14ac:dyDescent="0.3">
      <c r="A6" s="471" t="s">
        <v>263</v>
      </c>
      <c r="B6" s="472"/>
      <c r="C6" s="472"/>
      <c r="D6" s="472"/>
      <c r="E6" s="473"/>
      <c r="F6" s="396" t="str">
        <f>Budsjett!F3</f>
        <v>Periode 1 (1-18 month)</v>
      </c>
      <c r="G6" s="396" t="str">
        <f>Budsjett!G3</f>
        <v>Periode 2 (19-36 month)</v>
      </c>
      <c r="H6" s="396" t="str">
        <f>Budsjett!H3</f>
        <v>Periode 3 (37-54 month)</v>
      </c>
      <c r="I6" s="396" t="s">
        <v>311</v>
      </c>
      <c r="J6" s="241" t="s">
        <v>309</v>
      </c>
      <c r="K6" s="291"/>
      <c r="L6" s="295" t="s">
        <v>326</v>
      </c>
      <c r="M6" s="296"/>
      <c r="N6" s="296"/>
      <c r="O6" s="296"/>
      <c r="P6" s="296"/>
      <c r="Q6" s="296"/>
      <c r="R6" s="297"/>
    </row>
    <row r="7" spans="1:31" ht="16.5" customHeight="1" x14ac:dyDescent="0.25">
      <c r="A7" s="474" t="s">
        <v>295</v>
      </c>
      <c r="B7" s="475"/>
      <c r="C7" s="478" t="s">
        <v>287</v>
      </c>
      <c r="D7" s="503" t="s">
        <v>355</v>
      </c>
      <c r="E7" s="504"/>
      <c r="F7" s="242">
        <f>(IFERROR(VLOOKUP($D7,Budsjett!$B$4:$AO$4,37,FALSE),0)+IFERROR(VLOOKUP($D7,Budsjett!$B$5:$AO$5,37,FALSE),0)+IFERROR(VLOOKUP($D7,Budsjett!$B$6:$AO$6,37,FALSE),0)+IFERROR(VLOOKUP($D7,Budsjett!$B$7:$AO$7,37,FALSE),0)+IFERROR(VLOOKUP($D7,Budsjett!$B$8:$AO$8,37,FALSE),0)+IFERROR(VLOOKUP($D7,Budsjett!$B$9:$AO$9,37,FALSE),0)+IFERROR(VLOOKUP($D7,Budsjett!$B$10:$AO$10,37,FALSE),0)+IFERROR(VLOOKUP($D7,Budsjett!$B$11:$AO$11,37,FALSE),0)+IFERROR(VLOOKUP($D7,Budsjett!$B$14:$AO$14,37,FALSE),0)+IFERROR(VLOOKUP($D7,Budsjett!$B$15:$AO$15,37,FALSE),0)+IFERROR(VLOOKUP($D7,Budsjett!$B$16:$AO$16,37,FALSE),0)+IFERROR(VLOOKUP($D7,Budsjett!$B$17:$AO$17,37,FALSE),0)+IFERROR(VLOOKUP($D7,Budsjett!$B$18:$AO$18,37,FALSE),0)+IFERROR(VLOOKUP($D7,Budsjett!$B$19:$AO$19,37,FALSE),0))/$C$3</f>
        <v>0</v>
      </c>
      <c r="G7" s="242">
        <f>(IFERROR(VLOOKUP($D7,Budsjett!$B$4:$AO$4,38,FALSE),0)+IFERROR(VLOOKUP($D7,Budsjett!$B$5:$AO$5,38,FALSE),0)+IFERROR(VLOOKUP($D7,Budsjett!$B$6:$AO$6,38,FALSE),0)+IFERROR(VLOOKUP($D7,Budsjett!$B$7:$AO$7,38,FALSE),0)+IFERROR(VLOOKUP($D7,Budsjett!$B$8:$AO$8,38,FALSE),0)+IFERROR(VLOOKUP($D7,Budsjett!$B$9:$AO$9,38,FALSE),0)+IFERROR(VLOOKUP($D7,Budsjett!$B$10:$AO$10,38,FALSE),0)+IFERROR(VLOOKUP($D7,Budsjett!$B$11:$AO$11,38,FALSE),0)+IFERROR(VLOOKUP($D7,Budsjett!$B$14:$AO$14,38,FALSE),0)+IFERROR(VLOOKUP($D7,Budsjett!$B$15:$AO$15,38,FALSE),0)+IFERROR(VLOOKUP($D7,Budsjett!$B$16:$AO$16,38,FALSE),0)+IFERROR(VLOOKUP($D7,Budsjett!$B$17:$AO$17,38,FALSE),0)+IFERROR(VLOOKUP($D7,Budsjett!$B$18:$AO$18,38,FALSE),0)+IFERROR(VLOOKUP($D7,Budsjett!$B$19:$AO$19,38,FALSE),0))/$C$3</f>
        <v>0</v>
      </c>
      <c r="H7" s="242">
        <f>(IFERROR(VLOOKUP($D7,Budsjett!$B$4:$AO$4,39,FALSE),0)+IFERROR(VLOOKUP($D7,Budsjett!$B$5:$AO$5,39,FALSE),0)+IFERROR(VLOOKUP($D7,Budsjett!$B$6:$AO$6,39,FALSE),0)+IFERROR(VLOOKUP($D7,Budsjett!$B$7:$AO$7,39,FALSE),0)+IFERROR(VLOOKUP($D7,Budsjett!$B$8:$AO$8,39,FALSE),0)+IFERROR(VLOOKUP($D7,Budsjett!$B$9:$AO$9,39,FALSE),0)+IFERROR(VLOOKUP($D7,Budsjett!$B$10:$AO$10,39,FALSE),0)+IFERROR(VLOOKUP($D7,Budsjett!$B$11:$AO$11,39,FALSE),0)+IFERROR(VLOOKUP($D7,Budsjett!$B$14:$AO$14,39,FALSE),0)+IFERROR(VLOOKUP($D7,Budsjett!$B$15:$AO$15,39,FALSE),0)+IFERROR(VLOOKUP($D7,Budsjett!$B$16:$AO$16,39,FALSE),0)+IFERROR(VLOOKUP($D7,Budsjett!$B$17:$AO$17,39,FALSE),0)+IFERROR(VLOOKUP($D7,Budsjett!$B$18:$AO$18,39,FALSE),0)+IFERROR(VLOOKUP($D7,Budsjett!$B$19:$AO$19,39,FALSE),0))/$C$3</f>
        <v>0</v>
      </c>
      <c r="I7" s="242">
        <f>(IFERROR(VLOOKUP($D7,Budsjett!$B$4:$AO$4,40,FALSE),0)+IFERROR(VLOOKUP($D7,Budsjett!$B$5:$AO$5,40,FALSE),0)+IFERROR(VLOOKUP($D7,Budsjett!$B$6:$AO$6,40,FALSE),0)+IFERROR(VLOOKUP($D7,Budsjett!$B$7:$AO$7,40,FALSE),0)+IFERROR(VLOOKUP($D7,Budsjett!$B$8:$AO$8,40,FALSE),0)+IFERROR(VLOOKUP($D7,Budsjett!$B$9:$AO$9,40,FALSE),0)+IFERROR(VLOOKUP($D7,Budsjett!$B$10:$AO$10,40,FALSE),0)+IFERROR(VLOOKUP($D7,Budsjett!$B$11:$AO$11,40,FALSE),0)+IFERROR(VLOOKUP($D7,Budsjett!$B$14:$AO$14,40,FALSE),0)+IFERROR(VLOOKUP($D7,Budsjett!$B$15:$AO$15,40,FALSE),0)+IFERROR(VLOOKUP($D7,Budsjett!$B$16:$AO$16,40,FALSE),0)+IFERROR(VLOOKUP($D7,Budsjett!$B$17:$AO$17,40,FALSE),0)+IFERROR(VLOOKUP($D7,Budsjett!$B$18:$AO$18,40,FALSE),0)+IFERROR(VLOOKUP($D7,Budsjett!$B$19:$AO$19,40,FALSE),0))/$C$3</f>
        <v>0</v>
      </c>
      <c r="J7" s="394">
        <f>IFERROR(SUM(F7:I7),0)</f>
        <v>0</v>
      </c>
      <c r="K7" s="292"/>
      <c r="L7" s="301" t="s">
        <v>5</v>
      </c>
      <c r="M7" s="302"/>
      <c r="N7" s="302"/>
      <c r="O7" s="302"/>
      <c r="P7" s="302"/>
      <c r="Q7" s="302"/>
      <c r="R7" s="303"/>
    </row>
    <row r="8" spans="1:31" ht="15.75" x14ac:dyDescent="0.25">
      <c r="A8" s="476"/>
      <c r="B8" s="477"/>
      <c r="C8" s="479"/>
      <c r="D8" s="484" t="s">
        <v>259</v>
      </c>
      <c r="E8" s="485"/>
      <c r="F8" s="242">
        <f>(IFERROR(VLOOKUP($D8,Budsjett!$B$4:$AO$4,37,FALSE),0)+IFERROR(VLOOKUP($D8,Budsjett!$B$5:$AO$5,37,FALSE),0)+IFERROR(VLOOKUP($D8,Budsjett!$B$6:$AO$6,37,FALSE),0)+IFERROR(VLOOKUP($D8,Budsjett!$B$7:$AO$7,37,FALSE),0)+IFERROR(VLOOKUP($D8,Budsjett!$B$8:$AO$8,37,FALSE),0)+IFERROR(VLOOKUP($D8,Budsjett!$B$9:$AO$9,37,FALSE),0)+IFERROR(VLOOKUP($D8,Budsjett!$B$10:$AO$10,37,FALSE),0)+IFERROR(VLOOKUP($D8,Budsjett!$B$11:$AO$11,37,FALSE),0)+IFERROR(VLOOKUP($D8,Budsjett!$B$14:$AO$14,37,FALSE),0)+IFERROR(VLOOKUP($D8,Budsjett!$B$15:$AO$15,37,FALSE),0)+IFERROR(VLOOKUP($D8,Budsjett!$B$16:$AO$16,37,FALSE),0)+IFERROR(VLOOKUP($D8,Budsjett!$B$17:$AO$17,37,FALSE),0)+IFERROR(VLOOKUP($D8,Budsjett!$B$18:$AO$18,37,FALSE),0)+IFERROR(VLOOKUP($D8,Budsjett!$B$19:$AO$19,37,FALSE),0))/$C$3</f>
        <v>0</v>
      </c>
      <c r="G8" s="242">
        <f>(IFERROR(VLOOKUP($D8,Budsjett!$B$4:$AO$4,38,FALSE),0)+IFERROR(VLOOKUP($D8,Budsjett!$B$5:$AO$5,38,FALSE),0)+IFERROR(VLOOKUP($D8,Budsjett!$B$6:$AO$6,38,FALSE),0)+IFERROR(VLOOKUP($D8,Budsjett!$B$7:$AO$7,38,FALSE),0)+IFERROR(VLOOKUP($D8,Budsjett!$B$8:$AO$8,38,FALSE),0)+IFERROR(VLOOKUP($D8,Budsjett!$B$9:$AO$9,38,FALSE),0)+IFERROR(VLOOKUP($D8,Budsjett!$B$10:$AO$10,38,FALSE),0)+IFERROR(VLOOKUP($D8,Budsjett!$B$11:$AO$11,38,FALSE),0)+IFERROR(VLOOKUP($D8,Budsjett!$B$14:$AO$14,38,FALSE),0)+IFERROR(VLOOKUP($D8,Budsjett!$B$15:$AO$15,38,FALSE),0)+IFERROR(VLOOKUP($D8,Budsjett!$B$16:$AO$16,38,FALSE),0)+IFERROR(VLOOKUP($D8,Budsjett!$B$17:$AO$17,38,FALSE),0)+IFERROR(VLOOKUP($D8,Budsjett!$B$18:$AO$18,38,FALSE),0)+IFERROR(VLOOKUP($D8,Budsjett!$B$19:$AO$19,38,FALSE),0))/$C$3</f>
        <v>0</v>
      </c>
      <c r="H8" s="242">
        <f>(IFERROR(VLOOKUP($D8,Budsjett!$B$4:$AO$4,39,FALSE),0)+IFERROR(VLOOKUP($D8,Budsjett!$B$5:$AO$5,39,FALSE),0)+IFERROR(VLOOKUP($D8,Budsjett!$B$6:$AO$6,39,FALSE),0)+IFERROR(VLOOKUP($D8,Budsjett!$B$7:$AO$7,39,FALSE),0)+IFERROR(VLOOKUP($D8,Budsjett!$B$8:$AO$8,39,FALSE),0)+IFERROR(VLOOKUP($D8,Budsjett!$B$9:$AO$9,39,FALSE),0)+IFERROR(VLOOKUP($D8,Budsjett!$B$10:$AO$10,39,FALSE),0)+IFERROR(VLOOKUP($D8,Budsjett!$B$11:$AO$11,39,FALSE),0)+IFERROR(VLOOKUP($D8,Budsjett!$B$14:$AO$14,39,FALSE),0)+IFERROR(VLOOKUP($D8,Budsjett!$B$15:$AO$15,39,FALSE),0)+IFERROR(VLOOKUP($D8,Budsjett!$B$16:$AO$16,39,FALSE),0)+IFERROR(VLOOKUP($D8,Budsjett!$B$17:$AO$17,39,FALSE),0)+IFERROR(VLOOKUP($D8,Budsjett!$B$18:$AO$18,39,FALSE),0)+IFERROR(VLOOKUP($D8,Budsjett!$B$19:$AO$19,39,FALSE),0))/$C$3</f>
        <v>0</v>
      </c>
      <c r="I8" s="242">
        <f>(IFERROR(VLOOKUP($D8,Budsjett!$B$4:$AO$4,40,FALSE),0)+IFERROR(VLOOKUP($D8,Budsjett!$B$5:$AO$5,40,FALSE),0)+IFERROR(VLOOKUP($D8,Budsjett!$B$6:$AO$6,40,FALSE),0)+IFERROR(VLOOKUP($D8,Budsjett!$B$7:$AO$7,40,FALSE),0)+IFERROR(VLOOKUP($D8,Budsjett!$B$8:$AO$8,40,FALSE),0)+IFERROR(VLOOKUP($D8,Budsjett!$B$9:$AO$9,40,FALSE),0)+IFERROR(VLOOKUP($D8,Budsjett!$B$10:$AO$10,40,FALSE),0)+IFERROR(VLOOKUP($D8,Budsjett!$B$11:$AO$11,40,FALSE),0)+IFERROR(VLOOKUP($D8,Budsjett!$B$14:$AO$14,40,FALSE),0)+IFERROR(VLOOKUP($D8,Budsjett!$B$15:$AO$15,40,FALSE),0)+IFERROR(VLOOKUP($D8,Budsjett!$B$16:$AO$16,40,FALSE),0)+IFERROR(VLOOKUP($D8,Budsjett!$B$17:$AO$17,40,FALSE),0)+IFERROR(VLOOKUP($D8,Budsjett!$B$18:$AO$18,40,FALSE),0)+IFERROR(VLOOKUP($D8,Budsjett!$B$19:$AO$19,40,FALSE),0))/$C$3</f>
        <v>0</v>
      </c>
      <c r="J8" s="395">
        <f t="shared" ref="J8:J24" si="0">SUM(F8:I8)</f>
        <v>0</v>
      </c>
      <c r="K8" s="292"/>
      <c r="L8" s="309" t="s">
        <v>321</v>
      </c>
      <c r="M8" s="290"/>
      <c r="N8" s="290"/>
      <c r="O8" s="290"/>
      <c r="P8" s="290"/>
      <c r="Q8" s="290"/>
      <c r="R8" s="310"/>
    </row>
    <row r="9" spans="1:31" ht="15.75" customHeight="1" x14ac:dyDescent="0.25">
      <c r="A9" s="476"/>
      <c r="B9" s="477"/>
      <c r="C9" s="479"/>
      <c r="D9" s="484" t="s">
        <v>293</v>
      </c>
      <c r="E9" s="485"/>
      <c r="F9" s="242">
        <f>(IFERROR(VLOOKUP($D9,Budsjett!$B$4:$AO$4,37,FALSE),0)+IFERROR(VLOOKUP($D9,Budsjett!$B$5:$AO$5,37,FALSE),0)+IFERROR(VLOOKUP($D9,Budsjett!$B$6:$AO$6,37,FALSE),0)+IFERROR(VLOOKUP($D9,Budsjett!$B$7:$AO$7,37,FALSE),0)+IFERROR(VLOOKUP($D9,Budsjett!$B$8:$AO$8,37,FALSE),0)+IFERROR(VLOOKUP($D9,Budsjett!$B$9:$AO$9,37,FALSE),0)+IFERROR(VLOOKUP($D9,Budsjett!$B$10:$AO$10,37,FALSE),0)+IFERROR(VLOOKUP($D9,Budsjett!$B$11:$AO$11,37,FALSE),0)+IFERROR(VLOOKUP($D9,Budsjett!$B$14:$AO$14,37,FALSE),0)+IFERROR(VLOOKUP($D9,Budsjett!$B$15:$AO$15,37,FALSE),0)+IFERROR(VLOOKUP($D9,Budsjett!$B$16:$AO$16,37,FALSE),0)+IFERROR(VLOOKUP($D9,Budsjett!$B$17:$AO$17,37,FALSE),0)+IFERROR(VLOOKUP($D9,Budsjett!$B$18:$AO$18,37,FALSE),0)+IFERROR(VLOOKUP($D9,Budsjett!$B$19:$AO$19,37,FALSE),0))/$C$3</f>
        <v>0</v>
      </c>
      <c r="G9" s="242">
        <f>(IFERROR(VLOOKUP($D9,Budsjett!$B$4:$AO$4,38,FALSE),0)+IFERROR(VLOOKUP($D9,Budsjett!$B$5:$AO$5,38,FALSE),0)+IFERROR(VLOOKUP($D9,Budsjett!$B$6:$AO$6,38,FALSE),0)+IFERROR(VLOOKUP($D9,Budsjett!$B$7:$AO$7,38,FALSE),0)+IFERROR(VLOOKUP($D9,Budsjett!$B$8:$AO$8,38,FALSE),0)+IFERROR(VLOOKUP($D9,Budsjett!$B$9:$AO$9,38,FALSE),0)+IFERROR(VLOOKUP($D9,Budsjett!$B$10:$AO$10,38,FALSE),0)+IFERROR(VLOOKUP($D9,Budsjett!$B$11:$AO$11,38,FALSE),0)+IFERROR(VLOOKUP($D9,Budsjett!$B$14:$AO$14,38,FALSE),0)+IFERROR(VLOOKUP($D9,Budsjett!$B$15:$AO$15,38,FALSE),0)+IFERROR(VLOOKUP($D9,Budsjett!$B$16:$AO$16,38,FALSE),0)+IFERROR(VLOOKUP($D9,Budsjett!$B$17:$AO$17,38,FALSE),0)+IFERROR(VLOOKUP($D9,Budsjett!$B$18:$AO$18,38,FALSE),0)+IFERROR(VLOOKUP($D9,Budsjett!$B$19:$AO$19,38,FALSE),0))/$C$3</f>
        <v>0</v>
      </c>
      <c r="H9" s="242">
        <f>(IFERROR(VLOOKUP($D9,Budsjett!$B$4:$AO$4,39,FALSE),0)+IFERROR(VLOOKUP($D9,Budsjett!$B$5:$AO$5,39,FALSE),0)+IFERROR(VLOOKUP($D9,Budsjett!$B$6:$AO$6,39,FALSE),0)+IFERROR(VLOOKUP($D9,Budsjett!$B$7:$AO$7,39,FALSE),0)+IFERROR(VLOOKUP($D9,Budsjett!$B$8:$AO$8,39,FALSE),0)+IFERROR(VLOOKUP($D9,Budsjett!$B$9:$AO$9,39,FALSE),0)+IFERROR(VLOOKUP($D9,Budsjett!$B$10:$AO$10,39,FALSE),0)+IFERROR(VLOOKUP($D9,Budsjett!$B$11:$AO$11,39,FALSE),0)+IFERROR(VLOOKUP($D9,Budsjett!$B$14:$AO$14,39,FALSE),0)+IFERROR(VLOOKUP($D9,Budsjett!$B$15:$AO$15,39,FALSE),0)+IFERROR(VLOOKUP($D9,Budsjett!$B$16:$AO$16,39,FALSE),0)+IFERROR(VLOOKUP($D9,Budsjett!$B$17:$AO$17,39,FALSE),0)+IFERROR(VLOOKUP($D9,Budsjett!$B$18:$AO$18,39,FALSE),0)+IFERROR(VLOOKUP($D9,Budsjett!$B$19:$AO$19,39,FALSE),0))/$C$3</f>
        <v>0</v>
      </c>
      <c r="I9" s="242">
        <f>(IFERROR(VLOOKUP($D9,Budsjett!$B$4:$AO$4,40,FALSE),0)+IFERROR(VLOOKUP($D9,Budsjett!$B$5:$AO$5,40,FALSE),0)+IFERROR(VLOOKUP($D9,Budsjett!$B$6:$AO$6,40,FALSE),0)+IFERROR(VLOOKUP($D9,Budsjett!$B$7:$AO$7,40,FALSE),0)+IFERROR(VLOOKUP($D9,Budsjett!$B$8:$AO$8,40,FALSE),0)+IFERROR(VLOOKUP($D9,Budsjett!$B$9:$AO$9,40,FALSE),0)+IFERROR(VLOOKUP($D9,Budsjett!$B$10:$AO$10,40,FALSE),0)+IFERROR(VLOOKUP($D9,Budsjett!$B$11:$AO$11,40,FALSE),0)+IFERROR(VLOOKUP($D9,Budsjett!$B$14:$AO$14,40,FALSE),0)+IFERROR(VLOOKUP($D9,Budsjett!$B$15:$AO$15,40,FALSE),0)+IFERROR(VLOOKUP($D9,Budsjett!$B$16:$AO$16,40,FALSE),0)+IFERROR(VLOOKUP($D9,Budsjett!$B$17:$AO$17,40,FALSE),0)+IFERROR(VLOOKUP($D9,Budsjett!$B$18:$AO$18,40,FALSE),0)+IFERROR(VLOOKUP($D9,Budsjett!$B$19:$AO$19,40,FALSE),0))/$C$3</f>
        <v>0</v>
      </c>
      <c r="J9" s="395">
        <f t="shared" si="0"/>
        <v>0</v>
      </c>
      <c r="K9" s="294"/>
      <c r="L9" s="304" t="s">
        <v>16</v>
      </c>
      <c r="M9" s="15"/>
      <c r="N9" s="15"/>
      <c r="O9" s="15"/>
      <c r="P9" s="15"/>
      <c r="Q9" s="15"/>
      <c r="R9" s="305"/>
    </row>
    <row r="10" spans="1:31" ht="15.75" x14ac:dyDescent="0.25">
      <c r="A10" s="476"/>
      <c r="B10" s="477"/>
      <c r="C10" s="479"/>
      <c r="D10" s="484" t="s">
        <v>292</v>
      </c>
      <c r="E10" s="485"/>
      <c r="F10" s="242">
        <f>(IFERROR(VLOOKUP($D10,Budsjett!$B$4:$AO$4,37,FALSE),0)+IFERROR(VLOOKUP($D10,Budsjett!$B$5:$AO$5,37,FALSE),0)+IFERROR(VLOOKUP($D10,Budsjett!$B$6:$AO$6,37,FALSE),0)+IFERROR(VLOOKUP($D10,Budsjett!$B$7:$AO$7,37,FALSE),0)+IFERROR(VLOOKUP($D10,Budsjett!$B$8:$AO$8,37,FALSE),0)+IFERROR(VLOOKUP($D10,Budsjett!$B$9:$AO$9,37,FALSE),0)+IFERROR(VLOOKUP($D10,Budsjett!$B$10:$AO$10,37,FALSE),0)+IFERROR(VLOOKUP($D10,Budsjett!$B$11:$AO$11,37,FALSE),0)+IFERROR(VLOOKUP($D10,Budsjett!$B$14:$AO$14,37,FALSE),0)+IFERROR(VLOOKUP($D10,Budsjett!$B$15:$AO$15,37,FALSE),0)+IFERROR(VLOOKUP($D10,Budsjett!$B$16:$AO$16,37,FALSE),0)+IFERROR(VLOOKUP($D10,Budsjett!$B$17:$AO$17,37,FALSE),0)+IFERROR(VLOOKUP($D10,Budsjett!$B$18:$AO$18,37,FALSE),0)+IFERROR(VLOOKUP($D10,Budsjett!$B$19:$AO$19,37,FALSE),0))/$C$3</f>
        <v>0</v>
      </c>
      <c r="G10" s="242">
        <f>(IFERROR(VLOOKUP($D10,Budsjett!$B$4:$AO$4,38,FALSE),0)+IFERROR(VLOOKUP($D10,Budsjett!$B$5:$AO$5,38,FALSE),0)+IFERROR(VLOOKUP($D10,Budsjett!$B$6:$AO$6,38,FALSE),0)+IFERROR(VLOOKUP($D10,Budsjett!$B$7:$AO$7,38,FALSE),0)+IFERROR(VLOOKUP($D10,Budsjett!$B$8:$AO$8,38,FALSE),0)+IFERROR(VLOOKUP($D10,Budsjett!$B$9:$AO$9,38,FALSE),0)+IFERROR(VLOOKUP($D10,Budsjett!$B$10:$AO$10,38,FALSE),0)+IFERROR(VLOOKUP($D10,Budsjett!$B$11:$AO$11,38,FALSE),0)+IFERROR(VLOOKUP($D10,Budsjett!$B$14:$AO$14,38,FALSE),0)+IFERROR(VLOOKUP($D10,Budsjett!$B$15:$AO$15,38,FALSE),0)+IFERROR(VLOOKUP($D10,Budsjett!$B$16:$AO$16,38,FALSE),0)+IFERROR(VLOOKUP($D10,Budsjett!$B$17:$AO$17,38,FALSE),0)+IFERROR(VLOOKUP($D10,Budsjett!$B$18:$AO$18,38,FALSE),0)+IFERROR(VLOOKUP($D10,Budsjett!$B$19:$AO$19,38,FALSE),0))/$C$3</f>
        <v>0</v>
      </c>
      <c r="H10" s="242">
        <f>(IFERROR(VLOOKUP($D10,Budsjett!$B$4:$AO$4,39,FALSE),0)+IFERROR(VLOOKUP($D10,Budsjett!$B$5:$AO$5,39,FALSE),0)+IFERROR(VLOOKUP($D10,Budsjett!$B$6:$AO$6,39,FALSE),0)+IFERROR(VLOOKUP($D10,Budsjett!$B$7:$AO$7,39,FALSE),0)+IFERROR(VLOOKUP($D10,Budsjett!$B$8:$AO$8,39,FALSE),0)+IFERROR(VLOOKUP($D10,Budsjett!$B$9:$AO$9,39,FALSE),0)+IFERROR(VLOOKUP($D10,Budsjett!$B$10:$AO$10,39,FALSE),0)+IFERROR(VLOOKUP($D10,Budsjett!$B$11:$AO$11,39,FALSE),0)+IFERROR(VLOOKUP($D10,Budsjett!$B$14:$AO$14,39,FALSE),0)+IFERROR(VLOOKUP($D10,Budsjett!$B$15:$AO$15,39,FALSE),0)+IFERROR(VLOOKUP($D10,Budsjett!$B$16:$AO$16,39,FALSE),0)+IFERROR(VLOOKUP($D10,Budsjett!$B$17:$AO$17,39,FALSE),0)+IFERROR(VLOOKUP($D10,Budsjett!$B$18:$AO$18,39,FALSE),0)+IFERROR(VLOOKUP($D10,Budsjett!$B$19:$AO$19,39,FALSE),0))/$C$3</f>
        <v>0</v>
      </c>
      <c r="I10" s="242">
        <f>(IFERROR(VLOOKUP($D10,Budsjett!$B$4:$AO$4,40,FALSE),0)+IFERROR(VLOOKUP($D10,Budsjett!$B$5:$AO$5,40,FALSE),0)+IFERROR(VLOOKUP($D10,Budsjett!$B$6:$AO$6,40,FALSE),0)+IFERROR(VLOOKUP($D10,Budsjett!$B$7:$AO$7,40,FALSE),0)+IFERROR(VLOOKUP($D10,Budsjett!$B$8:$AO$8,40,FALSE),0)+IFERROR(VLOOKUP($D10,Budsjett!$B$9:$AO$9,40,FALSE),0)+IFERROR(VLOOKUP($D10,Budsjett!$B$10:$AO$10,40,FALSE),0)+IFERROR(VLOOKUP($D10,Budsjett!$B$11:$AO$11,40,FALSE),0)+IFERROR(VLOOKUP($D10,Budsjett!$B$14:$AO$14,40,FALSE),0)+IFERROR(VLOOKUP($D10,Budsjett!$B$15:$AO$15,40,FALSE),0)+IFERROR(VLOOKUP($D10,Budsjett!$B$16:$AO$16,40,FALSE),0)+IFERROR(VLOOKUP($D10,Budsjett!$B$17:$AO$17,40,FALSE),0)+IFERROR(VLOOKUP($D10,Budsjett!$B$18:$AO$18,40,FALSE),0)+IFERROR(VLOOKUP($D10,Budsjett!$B$19:$AO$19,40,FALSE),0))/$C$3</f>
        <v>0</v>
      </c>
      <c r="J10" s="395">
        <f t="shared" si="0"/>
        <v>0</v>
      </c>
      <c r="K10" s="294"/>
      <c r="L10" s="309" t="s">
        <v>9</v>
      </c>
      <c r="M10" s="290"/>
      <c r="N10" s="290"/>
      <c r="O10" s="290"/>
      <c r="P10" s="290"/>
      <c r="Q10" s="290"/>
      <c r="R10" s="310"/>
    </row>
    <row r="11" spans="1:31" ht="16.5" customHeight="1" thickBot="1" x14ac:dyDescent="0.3">
      <c r="A11" s="476"/>
      <c r="B11" s="477"/>
      <c r="C11" s="480"/>
      <c r="D11" s="484" t="s">
        <v>260</v>
      </c>
      <c r="E11" s="485"/>
      <c r="F11" s="242">
        <f>(IFERROR(VLOOKUP($D11,Budsjett!$B$4:$AO$4,37,FALSE),0)+IFERROR(VLOOKUP($D11,Budsjett!$B$5:$AO$5,37,FALSE),0)+IFERROR(VLOOKUP($D11,Budsjett!$B$6:$AO$6,37,FALSE),0)+IFERROR(VLOOKUP($D11,Budsjett!$B$7:$AO$7,37,FALSE),0)+IFERROR(VLOOKUP($D11,Budsjett!$B$8:$AO$8,37,FALSE),0)+IFERROR(VLOOKUP($D11,Budsjett!$B$9:$AO$9,37,FALSE),0)+IFERROR(VLOOKUP($D11,Budsjett!$B$10:$AO$10,37,FALSE),0)+IFERROR(VLOOKUP($D11,Budsjett!$B$11:$AO$11,37,FALSE),0)+IFERROR(VLOOKUP($D11,Budsjett!$B$14:$AO$14,37,FALSE),0)+IFERROR(VLOOKUP($D11,Budsjett!$B$15:$AO$15,37,FALSE),0)+IFERROR(VLOOKUP($D11,Budsjett!$B$16:$AO$16,37,FALSE),0)+IFERROR(VLOOKUP($D11,Budsjett!$B$17:$AO$17,37,FALSE),0)+IFERROR(VLOOKUP($D11,Budsjett!$B$18:$AO$18,37,FALSE),0)+IFERROR(VLOOKUP($D11,Budsjett!$B$19:$AO$19,37,FALSE),0))/C3+(Budsjett!AL41/'Budsjett_ERC for the proporsal'!C3)</f>
        <v>0</v>
      </c>
      <c r="G11" s="242">
        <f>(IFERROR(VLOOKUP($D11,Budsjett!$B$4:$AO$4,38,FALSE),0)+IFERROR(VLOOKUP($D11,Budsjett!$B$5:$AO$5,38,FALSE),0)+IFERROR(VLOOKUP($D11,Budsjett!$B$6:$AO$6,38,FALSE),0)+IFERROR(VLOOKUP($D11,Budsjett!$B$7:$AO$7,38,FALSE),0)+IFERROR(VLOOKUP($D11,Budsjett!$B$8:$AO$8,38,FALSE),0)+IFERROR(VLOOKUP($D11,Budsjett!$B$9:$AO$9,38,FALSE),0)+IFERROR(VLOOKUP($D11,Budsjett!$B$10:$AO$10,38,FALSE),0)+IFERROR(VLOOKUP($D11,Budsjett!$B$11:$AO$11,38,FALSE),0)+IFERROR(VLOOKUP($D11,Budsjett!$B$14:$AO$14,38,FALSE),0)+IFERROR(VLOOKUP($D11,Budsjett!$B$15:$AO$15,38,FALSE),0)+IFERROR(VLOOKUP($D11,Budsjett!$B$16:$AO$16,38,FALSE),0)+IFERROR(VLOOKUP($D11,Budsjett!$B$17:$AO$17,38,FALSE),0)+IFERROR(VLOOKUP($D11,Budsjett!$B$18:$AO$18,38,FALSE),0)+IFERROR(VLOOKUP($D11,Budsjett!$B$19:$AO$19,38,FALSE),0))/$C$3+(Budsjett!AM41/'Budsjett_ERC for the proporsal'!C3)</f>
        <v>0</v>
      </c>
      <c r="H11" s="242">
        <f>(IFERROR(VLOOKUP($D11,Budsjett!$B$4:$AO$4,39,FALSE),0)+IFERROR(VLOOKUP($D11,Budsjett!$B$5:$AO$5,39,FALSE),0)+IFERROR(VLOOKUP($D11,Budsjett!$B$6:$AO$6,39,FALSE),0)+IFERROR(VLOOKUP($D11,Budsjett!$B$7:$AO$7,39,FALSE),0)+IFERROR(VLOOKUP($D11,Budsjett!$B$8:$AO$8,39,FALSE),0)+IFERROR(VLOOKUP($D11,Budsjett!$B$9:$AO$9,39,FALSE),0)+IFERROR(VLOOKUP($D11,Budsjett!$B$10:$AO$10,39,FALSE),0)+IFERROR(VLOOKUP($D11,Budsjett!$B$11:$AO$11,39,FALSE),0)+IFERROR(VLOOKUP($D11,Budsjett!$B$14:$AO$14,39,FALSE),0)+IFERROR(VLOOKUP($D11,Budsjett!$B$15:$AO$15,39,FALSE),0)+IFERROR(VLOOKUP($D11,Budsjett!$B$16:$AO$16,39,FALSE),0)+IFERROR(VLOOKUP($D11,Budsjett!$B$17:$AO$17,39,FALSE),0)+IFERROR(VLOOKUP($D11,Budsjett!$B$18:$AO$18,39,FALSE),0)+IFERROR(VLOOKUP($D11,Budsjett!$B$19:$AO$19,39,FALSE),0))/$C$3+(Budsjett!AN41/'Budsjett_ERC for the proporsal'!C3)</f>
        <v>0</v>
      </c>
      <c r="I11" s="242">
        <f>(IFERROR(VLOOKUP($D11,Budsjett!$B$4:$AO$4,40,FALSE),0)+IFERROR(VLOOKUP($D11,Budsjett!$B$5:$AO$5,40,FALSE),0)+IFERROR(VLOOKUP($D11,Budsjett!$B$6:$AO$6,40,FALSE),0)+IFERROR(VLOOKUP($D11,Budsjett!$B$7:$AO$7,40,FALSE),0)+IFERROR(VLOOKUP($D11,Budsjett!$B$8:$AO$8,40,FALSE),0)+IFERROR(VLOOKUP($D11,Budsjett!$B$9:$AO$9,40,FALSE),0)+IFERROR(VLOOKUP($D11,Budsjett!$B$10:$AO$10,40,FALSE),0)+IFERROR(VLOOKUP($D11,Budsjett!$B$11:$AO$11,40,FALSE),0)+IFERROR(VLOOKUP($D11,Budsjett!$B$14:$AO$14,40,FALSE),0)+IFERROR(VLOOKUP($D11,Budsjett!$B$15:$AO$15,40,FALSE),0)+IFERROR(VLOOKUP($D11,Budsjett!$B$16:$AO$16,40,FALSE),0)+IFERROR(VLOOKUP($D11,Budsjett!$B$17:$AO$17,40,FALSE),0)+IFERROR(VLOOKUP($D11,Budsjett!$B$18:$AO$18,40,FALSE),0)+IFERROR(VLOOKUP($D11,Budsjett!$B$19:$AO$19,40,FALSE),0))/$C$3+(Budsjett!AO41/'Budsjett_ERC for the proporsal'!C3)</f>
        <v>0</v>
      </c>
      <c r="J11" s="395">
        <f t="shared" si="0"/>
        <v>0</v>
      </c>
      <c r="K11" s="294"/>
      <c r="L11" s="306" t="s">
        <v>331</v>
      </c>
      <c r="M11" s="307"/>
      <c r="N11" s="307"/>
      <c r="O11" s="307"/>
      <c r="P11" s="307"/>
      <c r="Q11" s="307"/>
      <c r="R11" s="308"/>
    </row>
    <row r="12" spans="1:31" ht="16.5" thickBot="1" x14ac:dyDescent="0.3">
      <c r="A12" s="476"/>
      <c r="B12" s="477"/>
      <c r="C12" s="508" t="s">
        <v>294</v>
      </c>
      <c r="D12" s="509"/>
      <c r="E12" s="510"/>
      <c r="F12" s="401">
        <f>SUM(F7:F11)</f>
        <v>0</v>
      </c>
      <c r="G12" s="401">
        <f>SUM(G7:G11)</f>
        <v>0</v>
      </c>
      <c r="H12" s="401">
        <f>SUM(H7:H11)</f>
        <v>0</v>
      </c>
      <c r="I12" s="401">
        <f>SUM(I7:I11)</f>
        <v>0</v>
      </c>
      <c r="J12" s="265">
        <f t="shared" si="0"/>
        <v>0</v>
      </c>
      <c r="K12" s="294"/>
      <c r="L12" s="264"/>
      <c r="S12" s="270"/>
      <c r="T12" s="271"/>
    </row>
    <row r="13" spans="1:31" ht="16.5" thickBot="1" x14ac:dyDescent="0.3">
      <c r="A13" s="476"/>
      <c r="B13" s="477"/>
      <c r="C13" s="511" t="s">
        <v>262</v>
      </c>
      <c r="D13" s="512"/>
      <c r="E13" s="513"/>
      <c r="F13" s="272">
        <f>Budsjett!F46/'Budsjett_ERC for the proporsal'!$C$3</f>
        <v>0</v>
      </c>
      <c r="G13" s="243">
        <f>Budsjett!G46/'Budsjett_ERC for the proporsal'!$C$3</f>
        <v>0</v>
      </c>
      <c r="H13" s="243">
        <f>Budsjett!H46/'Budsjett_ERC for the proporsal'!$C$3</f>
        <v>0</v>
      </c>
      <c r="I13" s="243">
        <f>Budsjett!I46/'Budsjett_ERC for the proporsal'!$C$3</f>
        <v>0</v>
      </c>
      <c r="J13" s="244">
        <f t="shared" si="0"/>
        <v>0</v>
      </c>
      <c r="K13" s="293"/>
      <c r="L13" s="301" t="s">
        <v>322</v>
      </c>
      <c r="M13" s="302"/>
      <c r="N13" s="302"/>
      <c r="O13" s="302"/>
      <c r="P13" s="302"/>
      <c r="Q13" s="302"/>
      <c r="R13" s="303"/>
      <c r="S13" s="300"/>
      <c r="T13" s="298"/>
      <c r="U13" s="298"/>
      <c r="V13" s="298"/>
      <c r="W13" s="298"/>
      <c r="X13" s="298"/>
      <c r="Y13" s="298"/>
      <c r="Z13" s="298"/>
      <c r="AA13" s="298"/>
      <c r="AB13" s="298"/>
      <c r="AC13" s="298"/>
      <c r="AD13" s="298"/>
      <c r="AE13" s="298"/>
    </row>
    <row r="14" spans="1:31" ht="16.5" thickBot="1" x14ac:dyDescent="0.3">
      <c r="A14" s="476"/>
      <c r="B14" s="477"/>
      <c r="C14" s="486" t="s">
        <v>128</v>
      </c>
      <c r="D14" s="487"/>
      <c r="E14" s="488"/>
      <c r="F14" s="272">
        <f>Budsjett!F53/$C$3</f>
        <v>0</v>
      </c>
      <c r="G14" s="243">
        <f>Budsjett!G53/$C$3</f>
        <v>0</v>
      </c>
      <c r="H14" s="243">
        <f>Budsjett!H53/$C$3</f>
        <v>0</v>
      </c>
      <c r="I14" s="243">
        <f>Budsjett!I53/$C$3</f>
        <v>0</v>
      </c>
      <c r="J14" s="244">
        <f t="shared" si="0"/>
        <v>0</v>
      </c>
      <c r="K14" s="293"/>
      <c r="L14" s="309" t="s">
        <v>323</v>
      </c>
      <c r="M14" s="290"/>
      <c r="N14" s="290"/>
      <c r="O14" s="290"/>
      <c r="P14" s="290"/>
      <c r="Q14" s="290"/>
      <c r="R14" s="310"/>
      <c r="S14" s="299"/>
      <c r="T14" s="298"/>
      <c r="U14" s="299"/>
      <c r="V14" s="298"/>
      <c r="W14" s="298"/>
      <c r="X14" s="298"/>
      <c r="Y14" s="298"/>
      <c r="Z14" s="298"/>
      <c r="AA14" s="298"/>
      <c r="AB14" s="298"/>
      <c r="AC14" s="298"/>
      <c r="AD14" s="298"/>
      <c r="AE14" s="298"/>
    </row>
    <row r="15" spans="1:31" ht="15.75" x14ac:dyDescent="0.25">
      <c r="A15" s="476"/>
      <c r="B15" s="477"/>
      <c r="C15" s="478" t="s">
        <v>291</v>
      </c>
      <c r="D15" s="482" t="s">
        <v>261</v>
      </c>
      <c r="E15" s="483"/>
      <c r="F15" s="272">
        <f>Budsjett!F45/'Budget for the contract'!$B$3</f>
        <v>0</v>
      </c>
      <c r="G15" s="243">
        <f>(Budsjett!G45)/'Budget for the contract'!$B$3</f>
        <v>0</v>
      </c>
      <c r="H15" s="243">
        <f>(Budsjett!H45)/'Budget for the contract'!$B$3</f>
        <v>0</v>
      </c>
      <c r="I15" s="243">
        <f>(Budsjett!I45)/'Budget for the contract'!$B$3</f>
        <v>0</v>
      </c>
      <c r="J15" s="289">
        <f t="shared" si="0"/>
        <v>0</v>
      </c>
      <c r="K15" s="293"/>
      <c r="L15" s="304" t="s">
        <v>324</v>
      </c>
      <c r="M15" s="15"/>
      <c r="N15" s="15"/>
      <c r="O15" s="15"/>
      <c r="P15" s="15"/>
      <c r="Q15" s="15"/>
      <c r="R15" s="305"/>
      <c r="S15" s="299"/>
      <c r="T15" s="298"/>
      <c r="U15" s="298"/>
      <c r="V15" s="298"/>
      <c r="W15" s="298"/>
      <c r="X15" s="298"/>
      <c r="Y15" s="298"/>
      <c r="Z15" s="298"/>
      <c r="AA15" s="298"/>
      <c r="AB15" s="298"/>
      <c r="AC15" s="298"/>
      <c r="AD15" s="298"/>
      <c r="AE15" s="298"/>
    </row>
    <row r="16" spans="1:31" ht="15.75" x14ac:dyDescent="0.25">
      <c r="A16" s="476"/>
      <c r="B16" s="477"/>
      <c r="C16" s="479"/>
      <c r="D16" s="501" t="s">
        <v>288</v>
      </c>
      <c r="E16" s="502"/>
      <c r="F16" s="272">
        <f>Budsjett!BP50/'Budsjett_ERC for the proporsal'!$C$3</f>
        <v>0</v>
      </c>
      <c r="G16" s="243">
        <f>Budsjett!BQ50/'Budsjett_ERC for the proporsal'!$C$3</f>
        <v>0</v>
      </c>
      <c r="H16" s="243">
        <f>Budsjett!BR50/'Budsjett_ERC for the proporsal'!$C$3</f>
        <v>0</v>
      </c>
      <c r="I16" s="243">
        <f>Budsjett!BS50/'Budsjett_ERC for the proporsal'!$C$3</f>
        <v>0</v>
      </c>
      <c r="J16" s="289">
        <f t="shared" si="0"/>
        <v>0</v>
      </c>
      <c r="K16" s="293"/>
      <c r="L16" s="309" t="s">
        <v>316</v>
      </c>
      <c r="M16" s="290"/>
      <c r="N16" s="290"/>
      <c r="O16" s="290"/>
      <c r="P16" s="290"/>
      <c r="Q16" s="290"/>
      <c r="R16" s="310"/>
    </row>
    <row r="17" spans="1:24" ht="17.25" customHeight="1" thickBot="1" x14ac:dyDescent="0.3">
      <c r="A17" s="476"/>
      <c r="B17" s="477"/>
      <c r="C17" s="479"/>
      <c r="D17" s="501" t="s">
        <v>289</v>
      </c>
      <c r="E17" s="502"/>
      <c r="F17" s="273">
        <f>(Budsjett!F47+Budsjett!F49)/'Budsjett_ERC for the proporsal'!$C$3</f>
        <v>0</v>
      </c>
      <c r="G17" s="273">
        <f>(Budsjett!G47+Budsjett!G49)/'Budsjett_ERC for the proporsal'!$C$3</f>
        <v>0</v>
      </c>
      <c r="H17" s="273">
        <f>(Budsjett!H47+Budsjett!H49)/'Budsjett_ERC for the proporsal'!$C$3</f>
        <v>0</v>
      </c>
      <c r="I17" s="273">
        <f>(Budsjett!I47+Budsjett!I49)/'Budsjett_ERC for the proporsal'!$C$3</f>
        <v>0</v>
      </c>
      <c r="J17" s="289">
        <f t="shared" si="0"/>
        <v>0</v>
      </c>
      <c r="K17" s="293"/>
      <c r="L17" s="311" t="s">
        <v>320</v>
      </c>
      <c r="M17" s="307"/>
      <c r="N17" s="307"/>
      <c r="O17" s="307"/>
      <c r="P17" s="307"/>
      <c r="Q17" s="307"/>
      <c r="R17" s="308"/>
    </row>
    <row r="18" spans="1:24" ht="16.5" thickBot="1" x14ac:dyDescent="0.3">
      <c r="A18" s="476"/>
      <c r="B18" s="477"/>
      <c r="C18" s="489" t="s">
        <v>290</v>
      </c>
      <c r="D18" s="490"/>
      <c r="E18" s="491"/>
      <c r="F18" s="262">
        <f>SUM(F13:F17)</f>
        <v>0</v>
      </c>
      <c r="G18" s="231">
        <f>SUM(G13:G17)</f>
        <v>0</v>
      </c>
      <c r="H18" s="231">
        <f>SUM(H13:H17)</f>
        <v>0</v>
      </c>
      <c r="I18" s="231">
        <f>SUM(I13:I17)</f>
        <v>0</v>
      </c>
      <c r="J18" s="266">
        <f t="shared" si="0"/>
        <v>0</v>
      </c>
      <c r="K18" s="293"/>
    </row>
    <row r="19" spans="1:24" ht="15.75" customHeight="1" thickBot="1" x14ac:dyDescent="0.3">
      <c r="A19" s="486" t="s">
        <v>296</v>
      </c>
      <c r="B19" s="487"/>
      <c r="C19" s="487"/>
      <c r="D19" s="487"/>
      <c r="E19" s="488"/>
      <c r="F19" s="232">
        <f>F18+F12</f>
        <v>0</v>
      </c>
      <c r="G19" s="232">
        <f>G18+G12</f>
        <v>0</v>
      </c>
      <c r="H19" s="232">
        <f>H18+H12</f>
        <v>0</v>
      </c>
      <c r="I19" s="269">
        <f>I18+I12</f>
        <v>0</v>
      </c>
      <c r="J19" s="233">
        <f t="shared" si="0"/>
        <v>0</v>
      </c>
      <c r="K19" s="293"/>
      <c r="L19" s="264"/>
      <c r="M19" s="264"/>
      <c r="N19" s="264"/>
      <c r="O19" s="264"/>
    </row>
    <row r="20" spans="1:24" ht="16.5" thickBot="1" x14ac:dyDescent="0.3">
      <c r="A20" s="495" t="s">
        <v>301</v>
      </c>
      <c r="B20" s="496"/>
      <c r="C20" s="496"/>
      <c r="D20" s="496"/>
      <c r="E20" s="497"/>
      <c r="F20" s="261">
        <f>'Budget for the contract'!B19</f>
        <v>0</v>
      </c>
      <c r="G20" s="234">
        <f>'Budget for the contract'!C19</f>
        <v>0</v>
      </c>
      <c r="H20" s="234">
        <f>'Budget for the contract'!D19</f>
        <v>0</v>
      </c>
      <c r="I20" s="234">
        <f>'Budget for the contract'!E19</f>
        <v>0</v>
      </c>
      <c r="J20" s="235">
        <f t="shared" si="0"/>
        <v>0</v>
      </c>
      <c r="K20" s="293"/>
      <c r="L20" s="264"/>
      <c r="M20" s="264"/>
      <c r="N20" s="264"/>
      <c r="O20" s="264"/>
    </row>
    <row r="21" spans="1:24" ht="16.5" customHeight="1" thickBot="1" x14ac:dyDescent="0.3">
      <c r="A21" s="495" t="s">
        <v>297</v>
      </c>
      <c r="B21" s="496"/>
      <c r="C21" s="496"/>
      <c r="D21" s="496"/>
      <c r="E21" s="497"/>
      <c r="F21" s="261">
        <f>Budsjett!F51/'Budget for the contract'!$B$3</f>
        <v>0</v>
      </c>
      <c r="G21" s="261">
        <f>Budsjett!G51/'Budget for the contract'!$B$3</f>
        <v>0</v>
      </c>
      <c r="H21" s="261">
        <f>Budsjett!H51/'Budget for the contract'!$B$3</f>
        <v>0</v>
      </c>
      <c r="I21" s="261">
        <f>Budsjett!I51/'Budget for the contract'!$B$3</f>
        <v>0</v>
      </c>
      <c r="J21" s="267">
        <f t="shared" si="0"/>
        <v>0</v>
      </c>
      <c r="K21" s="293"/>
      <c r="L21" s="313" t="s">
        <v>325</v>
      </c>
      <c r="M21" s="314"/>
      <c r="N21" s="314"/>
      <c r="O21" s="314"/>
      <c r="P21" s="315"/>
      <c r="Q21" s="315"/>
      <c r="R21" s="316"/>
      <c r="T21" s="323"/>
      <c r="U21" s="323"/>
      <c r="V21" s="323"/>
      <c r="W21" s="323"/>
      <c r="X21" s="323"/>
    </row>
    <row r="22" spans="1:24" ht="16.5" customHeight="1" thickBot="1" x14ac:dyDescent="0.3">
      <c r="A22" s="495" t="s">
        <v>300</v>
      </c>
      <c r="B22" s="496"/>
      <c r="C22" s="496"/>
      <c r="D22" s="496"/>
      <c r="E22" s="497"/>
      <c r="F22" s="261">
        <f>Budsjett!F52/$C$3</f>
        <v>0</v>
      </c>
      <c r="G22" s="261">
        <f>Budsjett!G52/$C$3</f>
        <v>0</v>
      </c>
      <c r="H22" s="261">
        <f>Budsjett!H52/$C$3</f>
        <v>0</v>
      </c>
      <c r="I22" s="261">
        <f>Budsjett!I52/$C$3</f>
        <v>0</v>
      </c>
      <c r="J22" s="267">
        <f t="shared" si="0"/>
        <v>0</v>
      </c>
      <c r="K22" s="293"/>
      <c r="L22" s="306" t="s">
        <v>158</v>
      </c>
      <c r="M22" s="312"/>
      <c r="N22" s="312"/>
      <c r="O22" s="312"/>
      <c r="P22" s="307"/>
      <c r="Q22" s="307"/>
      <c r="R22" s="308"/>
    </row>
    <row r="23" spans="1:24" ht="17.25" customHeight="1" thickBot="1" x14ac:dyDescent="0.3">
      <c r="A23" s="492" t="s">
        <v>298</v>
      </c>
      <c r="B23" s="493"/>
      <c r="C23" s="493"/>
      <c r="D23" s="493"/>
      <c r="E23" s="494"/>
      <c r="F23" s="236">
        <f>F19+F20+F21+F22</f>
        <v>0</v>
      </c>
      <c r="G23" s="236">
        <f>G19+G20+G21+G22</f>
        <v>0</v>
      </c>
      <c r="H23" s="236">
        <f>H19+H20+H21+H22</f>
        <v>0</v>
      </c>
      <c r="I23" s="236">
        <f>I19+I20+I21+I22</f>
        <v>0</v>
      </c>
      <c r="J23" s="237">
        <f t="shared" si="0"/>
        <v>0</v>
      </c>
      <c r="K23" s="293"/>
      <c r="L23" s="264"/>
      <c r="M23" s="264"/>
      <c r="N23" s="264"/>
      <c r="O23" s="264"/>
    </row>
    <row r="24" spans="1:24" ht="17.25" customHeight="1" thickBot="1" x14ac:dyDescent="0.3">
      <c r="A24" s="505" t="s">
        <v>299</v>
      </c>
      <c r="B24" s="506"/>
      <c r="C24" s="506"/>
      <c r="D24" s="506"/>
      <c r="E24" s="507"/>
      <c r="F24" s="238">
        <f>F23</f>
        <v>0</v>
      </c>
      <c r="G24" s="238">
        <f>G23</f>
        <v>0</v>
      </c>
      <c r="H24" s="238">
        <f>H23</f>
        <v>0</v>
      </c>
      <c r="I24" s="238">
        <f>I23</f>
        <v>0</v>
      </c>
      <c r="J24" s="239">
        <f t="shared" si="0"/>
        <v>0</v>
      </c>
      <c r="K24" s="293"/>
      <c r="L24" s="264"/>
      <c r="M24" s="264"/>
      <c r="N24" s="264"/>
      <c r="O24" s="264"/>
      <c r="Q24" s="5"/>
    </row>
    <row r="25" spans="1:24" ht="17.25" customHeight="1" thickTop="1" x14ac:dyDescent="0.2">
      <c r="K25" s="271"/>
    </row>
    <row r="26" spans="1:24" ht="13.5" customHeight="1" x14ac:dyDescent="0.2"/>
    <row r="28" spans="1:24" ht="78.75" customHeight="1" x14ac:dyDescent="0.2">
      <c r="A28" s="470" t="s">
        <v>302</v>
      </c>
      <c r="B28" s="470"/>
      <c r="C28" s="470"/>
      <c r="D28" s="470"/>
      <c r="E28" s="470"/>
      <c r="F28" s="470"/>
      <c r="G28" s="470"/>
      <c r="H28" s="470"/>
      <c r="I28" s="470"/>
      <c r="J28" s="470"/>
      <c r="K28" s="275"/>
    </row>
    <row r="29" spans="1:24" ht="43.5" customHeight="1" x14ac:dyDescent="0.2">
      <c r="A29" s="481" t="s">
        <v>310</v>
      </c>
      <c r="B29" s="481"/>
      <c r="C29" s="481"/>
      <c r="D29" s="481"/>
      <c r="E29" s="481"/>
      <c r="F29" s="481"/>
      <c r="G29" s="481"/>
      <c r="H29" s="481"/>
      <c r="I29" s="481"/>
      <c r="J29" s="481"/>
      <c r="K29" s="276"/>
    </row>
    <row r="30" spans="1:24" ht="15.75" x14ac:dyDescent="0.2">
      <c r="A30" s="470" t="s">
        <v>303</v>
      </c>
      <c r="B30" s="470"/>
      <c r="C30" s="470"/>
      <c r="D30" s="470"/>
      <c r="E30" s="470"/>
      <c r="F30" s="470"/>
      <c r="G30" s="470"/>
      <c r="H30" s="470"/>
      <c r="I30" s="470"/>
      <c r="J30" s="470"/>
      <c r="K30" s="275"/>
    </row>
    <row r="31" spans="1:24" ht="45" customHeight="1" x14ac:dyDescent="0.2">
      <c r="A31" s="470" t="s">
        <v>304</v>
      </c>
      <c r="B31" s="470"/>
      <c r="C31" s="470"/>
      <c r="D31" s="470"/>
      <c r="E31" s="470"/>
      <c r="F31" s="470"/>
      <c r="G31" s="470"/>
      <c r="H31" s="470"/>
      <c r="I31" s="470"/>
      <c r="J31" s="470"/>
      <c r="K31" s="275"/>
    </row>
    <row r="32" spans="1:24" ht="27.75" customHeight="1" x14ac:dyDescent="0.2">
      <c r="A32" s="470" t="s">
        <v>305</v>
      </c>
      <c r="B32" s="470"/>
      <c r="C32" s="470"/>
      <c r="D32" s="470"/>
      <c r="E32" s="470"/>
      <c r="F32" s="470"/>
      <c r="G32" s="470"/>
      <c r="H32" s="470"/>
      <c r="I32" s="470"/>
      <c r="J32" s="470"/>
      <c r="K32" s="275"/>
    </row>
    <row r="40" spans="15:15" x14ac:dyDescent="0.2">
      <c r="O40" s="260"/>
    </row>
  </sheetData>
  <sheetProtection password="FF04" sheet="1" objects="1" scenarios="1" formatColumns="0"/>
  <mergeCells count="28">
    <mergeCell ref="A24:E24"/>
    <mergeCell ref="C12:E12"/>
    <mergeCell ref="C13:E13"/>
    <mergeCell ref="C14:E14"/>
    <mergeCell ref="C15:C17"/>
    <mergeCell ref="A5:E5"/>
    <mergeCell ref="D16:E16"/>
    <mergeCell ref="D17:E17"/>
    <mergeCell ref="A20:E20"/>
    <mergeCell ref="A21:E21"/>
    <mergeCell ref="D11:E11"/>
    <mergeCell ref="D7:E7"/>
    <mergeCell ref="A30:J30"/>
    <mergeCell ref="A31:J31"/>
    <mergeCell ref="A32:J32"/>
    <mergeCell ref="A6:E6"/>
    <mergeCell ref="A7:B18"/>
    <mergeCell ref="C7:C11"/>
    <mergeCell ref="A28:J28"/>
    <mergeCell ref="A29:J29"/>
    <mergeCell ref="D15:E15"/>
    <mergeCell ref="D8:E8"/>
    <mergeCell ref="D9:E9"/>
    <mergeCell ref="D10:E10"/>
    <mergeCell ref="A19:E19"/>
    <mergeCell ref="C18:E18"/>
    <mergeCell ref="A23:E23"/>
    <mergeCell ref="A22:E22"/>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Registrering</vt:lpstr>
      <vt:lpstr>Finansiering</vt:lpstr>
      <vt:lpstr>Budsjett</vt:lpstr>
      <vt:lpstr>Leiested</vt:lpstr>
      <vt:lpstr>Intern oversikt</vt:lpstr>
      <vt:lpstr>NFR-budsjett</vt:lpstr>
      <vt:lpstr>Intern oversikt andel</vt:lpstr>
      <vt:lpstr>Budget for the proposal</vt:lpstr>
      <vt:lpstr>Budsjett_ERC for the proporsal</vt:lpstr>
      <vt:lpstr>Budget for the contract</vt:lpstr>
      <vt:lpstr>Tabeller</vt:lpstr>
      <vt:lpstr>Sheet2</vt:lpstr>
      <vt:lpstr>Sheet1</vt:lpstr>
      <vt:lpstr>Endringslogg</vt:lpstr>
      <vt:lpstr>Europeisk_entralbank</vt:lpstr>
      <vt:lpstr>Europeisk_Sentralbank</vt:lpstr>
      <vt:lpstr>'Budget for the contract'!Print_Area</vt:lpstr>
      <vt:lpstr>Budsjett!Print_Area</vt:lpstr>
      <vt:lpstr>'Budsjett_ERC for the proporsal'!Print_Area</vt:lpstr>
      <vt:lpstr>'Intern oversikt'!Print_Area</vt:lpstr>
      <vt:lpstr>'Intern oversikt andel'!Print_Area</vt:lpstr>
      <vt:lpstr>Leiested!Print_Area</vt:lpstr>
      <vt:lpstr>Registrering!Print_Area</vt:lpstr>
      <vt:lpstr>valutakalkulator</vt:lpstr>
    </vt:vector>
  </TitlesOfParts>
  <Company>UiO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Simen Finne Jørgensen</dc:creator>
  <cp:lastModifiedBy>Terje Bakke</cp:lastModifiedBy>
  <cp:lastPrinted>2016-09-05T07:22:36Z</cp:lastPrinted>
  <dcterms:created xsi:type="dcterms:W3CDTF">2005-03-08T12:09:19Z</dcterms:created>
  <dcterms:modified xsi:type="dcterms:W3CDTF">2023-05-23T13:58:30Z</dcterms:modified>
</cp:coreProperties>
</file>