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Felles\EFP\9-skjemaer\Skjemaer EU rapportering\"/>
    </mc:Choice>
  </mc:AlternateContent>
  <bookViews>
    <workbookView xWindow="0" yWindow="0" windowWidth="19200" windowHeight="6300" firstSheet="2" activeTab="2"/>
  </bookViews>
  <sheets>
    <sheet name="Overordnet avstemming" sheetId="8" state="hidden" r:id="rId1"/>
    <sheet name="Productive H" sheetId="7" state="hidden" r:id="rId2"/>
    <sheet name="Avregning med permisjon" sheetId="21" r:id="rId3"/>
    <sheet name="Rapporteringsperiode 1" sheetId="16" state="hidden" r:id="rId4"/>
    <sheet name="Rapporteringsperiode 1 (2)" sheetId="17" state="hidden" r:id="rId5"/>
    <sheet name="Rapporteringsperiode 1 (3)" sheetId="18" state="hidden" r:id="rId6"/>
    <sheet name="Produktive timer ved sykefravær" sheetId="19" state="hidden" r:id="rId7"/>
    <sheet name="Retningslinjer" sheetId="20" state="hidden" r:id="rId8"/>
    <sheet name="Rapporteringsperiode 1 (5)" sheetId="22" state="hidden" r:id="rId9"/>
  </sheets>
  <definedNames>
    <definedName name="_ftn1" localSheetId="7">Retningslinjer!$A$61</definedName>
    <definedName name="_ftn2" localSheetId="7">Retningslinjer!$A$62</definedName>
    <definedName name="_ftnref1" localSheetId="7">Retningslinjer!$B$13</definedName>
    <definedName name="_ftnref2" localSheetId="7">Retningslinjer!$A$46</definedName>
    <definedName name="valutakalkulator" localSheetId="2">'Avregning med permisjon'!#REF!</definedName>
    <definedName name="valutakalkulator" localSheetId="3">'Rapporteringsperiode 1'!$I$6</definedName>
    <definedName name="valutakalkulator" localSheetId="4">'Rapporteringsperiode 1 (2)'!$I$6</definedName>
    <definedName name="valutakalkulator" localSheetId="5">'Rapporteringsperiode 1 (3)'!#REF!</definedName>
    <definedName name="valutakalkulator" localSheetId="8">'Rapporteringsperiode 1 (5)'!#REF!</definedName>
    <definedName name="valutakalkulator">#REF!</definedName>
  </definedNames>
  <calcPr calcId="162913"/>
</workbook>
</file>

<file path=xl/calcChain.xml><?xml version="1.0" encoding="utf-8"?>
<calcChain xmlns="http://schemas.openxmlformats.org/spreadsheetml/2006/main">
  <c r="G12" i="21" l="1"/>
  <c r="G11" i="21"/>
  <c r="G10" i="21"/>
  <c r="C19" i="22" l="1"/>
  <c r="C18" i="22"/>
  <c r="C17" i="22"/>
  <c r="I5" i="22"/>
  <c r="P21" i="22" s="1"/>
  <c r="I5" i="21"/>
  <c r="P15" i="21" l="1"/>
  <c r="O10" i="21"/>
  <c r="O11" i="21"/>
  <c r="O12" i="21"/>
  <c r="P18" i="21"/>
  <c r="P16" i="21"/>
  <c r="P17" i="21"/>
  <c r="P19" i="21"/>
  <c r="H11" i="22"/>
  <c r="J11" i="22" s="1"/>
  <c r="F18" i="22" s="1"/>
  <c r="H18" i="22" s="1"/>
  <c r="P15" i="22"/>
  <c r="H10" i="22"/>
  <c r="J10" i="22" s="1"/>
  <c r="F17" i="22" s="1"/>
  <c r="H17" i="22" s="1"/>
  <c r="Q12" i="22"/>
  <c r="P16" i="22"/>
  <c r="P17" i="22"/>
  <c r="P18" i="22"/>
  <c r="P19" i="22"/>
  <c r="Q11" i="22"/>
  <c r="P13" i="22"/>
  <c r="P20" i="22"/>
  <c r="Q10" i="22"/>
  <c r="H12" i="22"/>
  <c r="J12" i="22" s="1"/>
  <c r="F19" i="22" s="1"/>
  <c r="H19" i="22" s="1"/>
  <c r="P14" i="22"/>
  <c r="P13" i="21"/>
  <c r="P20" i="21"/>
  <c r="P14" i="21"/>
  <c r="P23" i="21"/>
  <c r="M38" i="19"/>
  <c r="M36" i="19"/>
  <c r="M35" i="19"/>
  <c r="M34" i="19"/>
  <c r="H39" i="19"/>
  <c r="H38" i="19"/>
  <c r="H36" i="19"/>
  <c r="H35" i="19"/>
  <c r="M26" i="19"/>
  <c r="M22" i="19"/>
  <c r="M21" i="19"/>
  <c r="M20" i="19"/>
  <c r="M18" i="19"/>
  <c r="H20" i="19"/>
  <c r="H22" i="19"/>
  <c r="H23" i="19"/>
  <c r="H24" i="19"/>
  <c r="D11" i="19"/>
  <c r="M45" i="19" s="1"/>
  <c r="H12" i="21" l="1"/>
  <c r="F19" i="21" s="1"/>
  <c r="H19" i="21" s="1"/>
  <c r="H10" i="21"/>
  <c r="F17" i="21" s="1"/>
  <c r="H17" i="21" s="1"/>
  <c r="H11" i="21"/>
  <c r="F18" i="21" s="1"/>
  <c r="H18" i="21" s="1"/>
  <c r="P22" i="22"/>
  <c r="P24" i="21"/>
  <c r="H19" i="19"/>
  <c r="M24" i="19"/>
  <c r="H40" i="19"/>
  <c r="M39" i="19"/>
  <c r="H17" i="19"/>
  <c r="H18" i="19"/>
  <c r="M25" i="19"/>
  <c r="H42" i="19"/>
  <c r="M40" i="19"/>
  <c r="H27" i="19"/>
  <c r="M16" i="19"/>
  <c r="H43" i="19"/>
  <c r="M42" i="19"/>
  <c r="H26" i="19"/>
  <c r="M17" i="19"/>
  <c r="H34" i="19"/>
  <c r="H44" i="19"/>
  <c r="M43" i="19"/>
  <c r="M44" i="19"/>
  <c r="H25" i="19"/>
  <c r="H21" i="19"/>
  <c r="H16" i="19"/>
  <c r="H28" i="19" s="1"/>
  <c r="M19" i="19"/>
  <c r="M23" i="19"/>
  <c r="M27" i="19"/>
  <c r="H37" i="19"/>
  <c r="H41" i="19"/>
  <c r="H45" i="19"/>
  <c r="M37" i="19"/>
  <c r="M41" i="19"/>
  <c r="C19" i="18"/>
  <c r="C18" i="18"/>
  <c r="C17" i="18"/>
  <c r="M28" i="19" l="1"/>
  <c r="M46" i="19"/>
  <c r="H46" i="19"/>
  <c r="I5" i="18"/>
  <c r="H11" i="18" l="1"/>
  <c r="J11" i="18" s="1"/>
  <c r="Q12" i="18"/>
  <c r="P16" i="18"/>
  <c r="P20" i="18"/>
  <c r="P17" i="18"/>
  <c r="P21" i="18"/>
  <c r="P14" i="18"/>
  <c r="P18" i="18"/>
  <c r="Q10" i="18"/>
  <c r="Q11" i="18"/>
  <c r="P15" i="18"/>
  <c r="P19" i="18"/>
  <c r="P13" i="18"/>
  <c r="P22" i="18" s="1"/>
  <c r="H10" i="18"/>
  <c r="H12" i="18"/>
  <c r="J12" i="18" s="1"/>
  <c r="J10" i="18" l="1"/>
  <c r="F17" i="18" s="1"/>
  <c r="H17" i="18" s="1"/>
  <c r="F18" i="18"/>
  <c r="H18" i="18" s="1"/>
  <c r="F19" i="18"/>
  <c r="H19" i="18" s="1"/>
  <c r="R14" i="17" l="1"/>
  <c r="M14" i="17"/>
  <c r="K5" i="17"/>
  <c r="K11" i="17" s="1"/>
  <c r="L11" i="17" s="1"/>
  <c r="Q11" i="16"/>
  <c r="K12" i="17" l="1"/>
  <c r="L12" i="17" s="1"/>
  <c r="O12" i="17" s="1"/>
  <c r="Q12" i="17" s="1"/>
  <c r="S12" i="17" s="1"/>
  <c r="K13" i="17"/>
  <c r="L13" i="17" s="1"/>
  <c r="O11" i="17"/>
  <c r="R30" i="16"/>
  <c r="AB14" i="16"/>
  <c r="O14" i="16"/>
  <c r="R14" i="16"/>
  <c r="V12" i="16"/>
  <c r="V11" i="16"/>
  <c r="I5" i="16"/>
  <c r="O13" i="17" l="1"/>
  <c r="Q13" i="17" s="1"/>
  <c r="S13" i="17" s="1"/>
  <c r="Q11" i="17"/>
  <c r="K12" i="16"/>
  <c r="K13" i="16"/>
  <c r="V14" i="16"/>
  <c r="K11" i="16"/>
  <c r="O14" i="17" l="1"/>
  <c r="Q14" i="17"/>
  <c r="S14" i="17" s="1"/>
  <c r="S11" i="17"/>
  <c r="L13" i="16"/>
  <c r="Q13" i="16" s="1"/>
  <c r="AA13" i="16" s="1"/>
  <c r="AC13" i="16" s="1"/>
  <c r="L12" i="16"/>
  <c r="Q12" i="16" s="1"/>
  <c r="L11" i="16"/>
  <c r="N13" i="16" l="1"/>
  <c r="N12" i="16"/>
  <c r="N11" i="16"/>
  <c r="AA12" i="16"/>
  <c r="AC12" i="16" s="1"/>
  <c r="Q14" i="16" l="1"/>
  <c r="AA11" i="16"/>
  <c r="AA14" i="16" l="1"/>
  <c r="AC14" i="16" s="1"/>
  <c r="AC11" i="16"/>
  <c r="F17" i="8" l="1"/>
  <c r="G7" i="8"/>
  <c r="G42" i="8"/>
  <c r="B41" i="8"/>
  <c r="G35" i="8"/>
  <c r="G15" i="8"/>
  <c r="G22" i="8" s="1"/>
  <c r="F11" i="8"/>
  <c r="F15" i="8" l="1"/>
  <c r="F22" i="8" s="1"/>
  <c r="F24" i="8" s="1"/>
  <c r="G11" i="8"/>
  <c r="G24" i="8" s="1"/>
  <c r="G37" i="8"/>
  <c r="G39" i="8" s="1"/>
  <c r="G44" i="8" s="1"/>
  <c r="D3" i="7" l="1"/>
  <c r="D32" i="7" s="1"/>
  <c r="D9" i="7" l="1"/>
  <c r="F9" i="7"/>
  <c r="F16" i="7"/>
  <c r="F20" i="7"/>
  <c r="H20" i="7" s="1"/>
  <c r="F26" i="7"/>
  <c r="D26" i="7"/>
  <c r="S11" i="16"/>
  <c r="S12" i="16"/>
  <c r="D16" i="7"/>
  <c r="H16" i="7" s="1"/>
  <c r="F36" i="7"/>
  <c r="F32" i="7"/>
  <c r="H32" i="7" s="1"/>
  <c r="H9" i="7"/>
  <c r="H26" i="7" l="1"/>
  <c r="F21" i="7"/>
  <c r="F37" i="7"/>
  <c r="H36" i="7"/>
  <c r="H37" i="7" s="1"/>
  <c r="W11" i="16"/>
  <c r="T11" i="16"/>
  <c r="X11" i="16" s="1"/>
  <c r="H21" i="7"/>
  <c r="T12" i="16"/>
  <c r="U12" i="16" s="1"/>
  <c r="W12" i="16"/>
  <c r="S14" i="16" l="1"/>
  <c r="W14" i="16"/>
  <c r="Y11" i="16"/>
  <c r="T14" i="16"/>
  <c r="U11" i="16"/>
  <c r="U14" i="16" s="1"/>
  <c r="X12" i="16"/>
  <c r="Y12" i="16" s="1"/>
  <c r="Z12" i="16" s="1"/>
  <c r="Z11" i="16" l="1"/>
  <c r="Z14" i="16" s="1"/>
  <c r="Y14" i="16"/>
  <c r="X14" i="16"/>
</calcChain>
</file>

<file path=xl/comments1.xml><?xml version="1.0" encoding="utf-8"?>
<comments xmlns="http://schemas.openxmlformats.org/spreadsheetml/2006/main">
  <authors>
    <author>Terje Bakke</author>
  </authors>
  <commentList>
    <comment ref="F6" authorId="0" shapeId="0">
      <text>
        <r>
          <rPr>
            <sz val="9"/>
            <color indexed="81"/>
            <rFont val="Tahoma"/>
            <family val="2"/>
          </rPr>
          <t xml:space="preserve">Kilde til Eurokurs for de respektiv rapporteringsperiodene
</t>
        </r>
      </text>
    </comment>
    <comment ref="C8" authorId="0" shapeId="0">
      <text>
        <r>
          <rPr>
            <sz val="9"/>
            <color indexed="81"/>
            <rFont val="Tahoma"/>
            <family val="2"/>
          </rPr>
          <t xml:space="preserve">Det er sist avsluttede regnskapsår som er utgangspunktet for beregning av timepris. I et åpent år så vil det alltid være fjorårets lønnskostnader som danner grunnlaget for timeprisen. For eksempel rapporteringsperioden slutter i april 2019, så er det lønnsgrunnlaget fra 2018 som er timeprisgrunnlaget. 
</t>
        </r>
      </text>
    </comment>
    <comment ref="D8" authorId="0" shapeId="0">
      <text>
        <r>
          <rPr>
            <sz val="12"/>
            <color indexed="81"/>
            <rFont val="Tahoma"/>
            <family val="2"/>
          </rPr>
          <t>Totale lønn inklusive sosiale kostnader ved UiO for sist avsluttede regnskapsår i  rapporteringsperiode, art 5000-5499 - grunnlag for timesatsberegning</t>
        </r>
        <r>
          <rPr>
            <sz val="9"/>
            <color indexed="81"/>
            <rFont val="Tahoma"/>
            <family val="2"/>
          </rPr>
          <t xml:space="preserve">
</t>
        </r>
      </text>
    </comment>
    <comment ref="E9" authorId="0" shapeId="0">
      <text>
        <r>
          <rPr>
            <sz val="9"/>
            <color indexed="81"/>
            <rFont val="Tahoma"/>
            <family val="2"/>
          </rPr>
          <t xml:space="preserve">Stillingsandelen ved UiO iht tilsettingskontrakt
</t>
        </r>
      </text>
    </comment>
    <comment ref="D15" authorId="0" shapeId="0">
      <text>
        <r>
          <rPr>
            <sz val="9"/>
            <color indexed="81"/>
            <rFont val="Tahoma"/>
            <family val="2"/>
          </rPr>
          <t xml:space="preserve">Maksimalt 1720 timer på 1 år.
</t>
        </r>
      </text>
    </comment>
    <comment ref="E15" authorId="0" shapeId="0">
      <text>
        <r>
          <rPr>
            <sz val="16"/>
            <color indexed="81"/>
            <rFont val="Tahoma"/>
            <family val="2"/>
          </rPr>
          <t>Totale lønn inklusive sosiale kostnader ved UiO for rapporteringsperioden (år) art 5000-5499 , samt Nav-fødselsrefusjoner, Art 5812. Dette utgjør maksimalt refusjonsbeløp fra kommisjonen.</t>
        </r>
        <r>
          <rPr>
            <sz val="9"/>
            <color indexed="81"/>
            <rFont val="Tahoma"/>
            <family val="2"/>
          </rPr>
          <t xml:space="preserve">
</t>
        </r>
      </text>
    </comment>
    <comment ref="F15" authorId="0" shapeId="0">
      <text>
        <r>
          <rPr>
            <sz val="9"/>
            <color indexed="81"/>
            <rFont val="Tahoma"/>
            <family val="2"/>
          </rPr>
          <t xml:space="preserve">Beløpet er maksimalt begrenset oppad til beløpet i kolonne N. 
</t>
        </r>
      </text>
    </comment>
    <comment ref="G15" authorId="0" shapeId="0">
      <text>
        <r>
          <rPr>
            <b/>
            <sz val="9"/>
            <color indexed="81"/>
            <rFont val="Tahoma"/>
            <family val="2"/>
          </rPr>
          <t xml:space="preserve">I H2020 benyttes snittskursen gjennom rapporteringsperioden. Bruk linken i celle H6. </t>
        </r>
        <r>
          <rPr>
            <sz val="9"/>
            <color indexed="81"/>
            <rFont val="Tahoma"/>
            <family val="2"/>
          </rPr>
          <t xml:space="preserve">
</t>
        </r>
      </text>
    </comment>
    <comment ref="H15" authorId="0" shapeId="0">
      <text>
        <r>
          <rPr>
            <sz val="9"/>
            <color indexed="81"/>
            <rFont val="Tahoma"/>
            <family val="2"/>
          </rPr>
          <t xml:space="preserve">Gjeldene snittkurs for rapporteringsperiode
</t>
        </r>
      </text>
    </comment>
  </commentList>
</comments>
</file>

<file path=xl/comments2.xml><?xml version="1.0" encoding="utf-8"?>
<comments xmlns="http://schemas.openxmlformats.org/spreadsheetml/2006/main">
  <authors>
    <author>Terje Bakke</author>
  </authors>
  <commentList>
    <comment ref="G6" authorId="0" shapeId="0">
      <text>
        <r>
          <rPr>
            <sz val="9"/>
            <color indexed="81"/>
            <rFont val="Tahoma"/>
            <family val="2"/>
          </rPr>
          <t xml:space="preserve">Kilde til Eurokurs for de respektiv rapporteringsperiodene
</t>
        </r>
      </text>
    </comment>
    <comment ref="G8" authorId="0" shapeId="0">
      <text>
        <r>
          <rPr>
            <sz val="9"/>
            <color indexed="81"/>
            <rFont val="Tahoma"/>
            <family val="2"/>
          </rPr>
          <t xml:space="preserve">Ofte 1 periode, men lagt til rette for eventuelt 2 perioder med ulike stillingsandel i samme rapporteringsperiode
</t>
        </r>
      </text>
    </comment>
    <comment ref="E9" authorId="0" shapeId="0">
      <text>
        <r>
          <rPr>
            <sz val="9"/>
            <color indexed="81"/>
            <rFont val="Tahoma"/>
            <family val="2"/>
          </rPr>
          <t xml:space="preserve">UiO har vedtatt å bruke sist avsluttede regnskapsår for beregning av timepris
</t>
        </r>
      </text>
    </comment>
    <comment ref="F9" authorId="0" shapeId="0">
      <text>
        <r>
          <rPr>
            <b/>
            <sz val="9"/>
            <color indexed="81"/>
            <rFont val="Tahoma"/>
            <family val="2"/>
          </rPr>
          <t>Totale lønn inklusive sosiale kostnader ved UiO for sist avsluttede regnskapsår i  rapporteringsperiode, art 5000-5499 - grunnlag for timesatsberegning</t>
        </r>
        <r>
          <rPr>
            <sz val="9"/>
            <color indexed="81"/>
            <rFont val="Tahoma"/>
            <family val="2"/>
          </rPr>
          <t xml:space="preserve">
</t>
        </r>
      </text>
    </comment>
    <comment ref="M9" authorId="0" shapeId="0">
      <text>
        <r>
          <rPr>
            <b/>
            <sz val="9"/>
            <color indexed="81"/>
            <rFont val="Tahoma"/>
            <family val="2"/>
          </rPr>
          <t xml:space="preserve">I H2020 benyttes snittskursen gjennom rapporteringsperioden. Bruk linken i celle H6. </t>
        </r>
        <r>
          <rPr>
            <sz val="9"/>
            <color indexed="81"/>
            <rFont val="Tahoma"/>
            <family val="2"/>
          </rPr>
          <t xml:space="preserve">
</t>
        </r>
      </text>
    </comment>
    <comment ref="P9" authorId="0" shapeId="0">
      <text>
        <r>
          <rPr>
            <sz val="9"/>
            <color indexed="81"/>
            <rFont val="Tahoma"/>
            <family val="2"/>
          </rPr>
          <t xml:space="preserve">Totale lønn inklusive sosiale kostnader ved UiO for rapporteringsperiode (år) art 5000-5499 , fratrukket Nav- refusjoner, Art 5801,5802 og 5812. Dette utgjør maksimalt refusjonsbeløp fra kommisjonen.
</t>
        </r>
      </text>
    </comment>
    <comment ref="AA9" authorId="0" shapeId="0">
      <text>
        <r>
          <rPr>
            <sz val="9"/>
            <color indexed="81"/>
            <rFont val="Tahoma"/>
            <family val="2"/>
          </rPr>
          <t xml:space="preserve">Gjeldene snittkurs for rapporteringsperiode
</t>
        </r>
      </text>
    </comment>
    <comment ref="AB9" authorId="0" shapeId="0">
      <text>
        <r>
          <rPr>
            <sz val="9"/>
            <color indexed="81"/>
            <rFont val="Tahoma"/>
            <family val="2"/>
          </rPr>
          <t xml:space="preserve">Summen av tidligere rapporterte og omsøkte refusjoner fra EU.
</t>
        </r>
      </text>
    </comment>
    <comment ref="AC9" authorId="0" shapeId="0">
      <text>
        <r>
          <rPr>
            <sz val="9"/>
            <color indexed="81"/>
            <rFont val="Tahoma"/>
            <family val="2"/>
          </rPr>
          <t xml:space="preserve">Er det rapportert og søkt refundert mer eller mindre enn korreksjonsberegning?
</t>
        </r>
      </text>
    </comment>
    <comment ref="G10" authorId="0" shapeId="0">
      <text>
        <r>
          <rPr>
            <sz val="9"/>
            <color indexed="81"/>
            <rFont val="Tahoma"/>
            <family val="2"/>
          </rPr>
          <t xml:space="preserve">Stillingsandelen ved UiO iht tilsettingskontrakt
</t>
        </r>
      </text>
    </comment>
  </commentList>
</comments>
</file>

<file path=xl/comments3.xml><?xml version="1.0" encoding="utf-8"?>
<comments xmlns="http://schemas.openxmlformats.org/spreadsheetml/2006/main">
  <authors>
    <author>Terje Bakke</author>
  </authors>
  <commentList>
    <comment ref="G6" authorId="0" shapeId="0">
      <text>
        <r>
          <rPr>
            <sz val="9"/>
            <color indexed="81"/>
            <rFont val="Tahoma"/>
            <family val="2"/>
          </rPr>
          <t xml:space="preserve">Kilde til Eurokurs for de respektiv rapporteringsperiodene
</t>
        </r>
      </text>
    </comment>
    <comment ref="G8" authorId="0" shapeId="0">
      <text>
        <r>
          <rPr>
            <sz val="9"/>
            <color indexed="81"/>
            <rFont val="Tahoma"/>
            <family val="2"/>
          </rPr>
          <t xml:space="preserve">Ofte 1 periode, men lagt til rette for eventuelt 2 perioder med ulike stillingsandel i samme rapporteringsperiode
</t>
        </r>
      </text>
    </comment>
    <comment ref="E9" authorId="0" shapeId="0">
      <text>
        <r>
          <rPr>
            <sz val="9"/>
            <color indexed="81"/>
            <rFont val="Tahoma"/>
            <family val="2"/>
          </rPr>
          <t>U</t>
        </r>
        <r>
          <rPr>
            <sz val="12"/>
            <color indexed="81"/>
            <rFont val="Tahoma"/>
            <family val="2"/>
          </rPr>
          <t>iO har vedtatt å bruke sist avsluttede regnskapsår for beregning av timepris</t>
        </r>
        <r>
          <rPr>
            <sz val="9"/>
            <color indexed="81"/>
            <rFont val="Tahoma"/>
            <family val="2"/>
          </rPr>
          <t xml:space="preserve">
</t>
        </r>
      </text>
    </comment>
    <comment ref="F9" authorId="0" shapeId="0">
      <text>
        <r>
          <rPr>
            <sz val="12"/>
            <color indexed="81"/>
            <rFont val="Tahoma"/>
            <family val="2"/>
          </rPr>
          <t>Totale lønn inklusive sosiale kostnader ved UiO for sist avsluttede regnskapsår i  rapporteringsperiode, art 5000-5499 - grunnlag for timesatsberegning</t>
        </r>
        <r>
          <rPr>
            <sz val="9"/>
            <color indexed="81"/>
            <rFont val="Tahoma"/>
            <family val="2"/>
          </rPr>
          <t xml:space="preserve">
</t>
        </r>
      </text>
    </comment>
    <comment ref="N9" authorId="0" shapeId="0">
      <text>
        <r>
          <rPr>
            <sz val="16"/>
            <color indexed="81"/>
            <rFont val="Tahoma"/>
            <family val="2"/>
          </rPr>
          <t>Totale lønn inklusive sosiale kostnader ved UiO for rapporteringsperiode (år) art 5000-5499 , samt Nav- refusjoner, Art 5801,5802 og 5812. Dette utgjør maksimalt refusjonsbeløp fra kommisjonen.</t>
        </r>
        <r>
          <rPr>
            <sz val="9"/>
            <color indexed="81"/>
            <rFont val="Tahoma"/>
            <family val="2"/>
          </rPr>
          <t xml:space="preserve">
</t>
        </r>
      </text>
    </comment>
    <comment ref="O9" authorId="0" shapeId="0">
      <text>
        <r>
          <rPr>
            <sz val="9"/>
            <color indexed="81"/>
            <rFont val="Tahoma"/>
            <family val="2"/>
          </rPr>
          <t xml:space="preserve">Beløpet er maksimalt begrenset oppad til beløpet i kolonne N. 
</t>
        </r>
      </text>
    </comment>
    <comment ref="P9" authorId="0" shapeId="0">
      <text>
        <r>
          <rPr>
            <b/>
            <sz val="9"/>
            <color indexed="81"/>
            <rFont val="Tahoma"/>
            <family val="2"/>
          </rPr>
          <t xml:space="preserve">I H2020 benyttes snittskursen gjennom rapporteringsperioden. Bruk linken i celle H6. </t>
        </r>
        <r>
          <rPr>
            <sz val="9"/>
            <color indexed="81"/>
            <rFont val="Tahoma"/>
            <family val="2"/>
          </rPr>
          <t xml:space="preserve">
</t>
        </r>
      </text>
    </comment>
    <comment ref="Q9" authorId="0" shapeId="0">
      <text>
        <r>
          <rPr>
            <sz val="9"/>
            <color indexed="81"/>
            <rFont val="Tahoma"/>
            <family val="2"/>
          </rPr>
          <t xml:space="preserve">Gjeldene snittkurs for rapporteringsperiode
</t>
        </r>
      </text>
    </comment>
    <comment ref="R9" authorId="0" shapeId="0">
      <text>
        <r>
          <rPr>
            <sz val="9"/>
            <color indexed="81"/>
            <rFont val="Tahoma"/>
            <family val="2"/>
          </rPr>
          <t xml:space="preserve">Summen av tidligere rapporterte og omsøkte refusjoner fra EU.
</t>
        </r>
      </text>
    </comment>
    <comment ref="S9" authorId="0" shapeId="0">
      <text>
        <r>
          <rPr>
            <sz val="9"/>
            <color indexed="81"/>
            <rFont val="Tahoma"/>
            <family val="2"/>
          </rPr>
          <t xml:space="preserve">Er det rapportert og søkt refundert mer eller mindre enn korreksjonsberegning?
</t>
        </r>
      </text>
    </comment>
    <comment ref="G10" authorId="0" shapeId="0">
      <text>
        <r>
          <rPr>
            <sz val="9"/>
            <color indexed="81"/>
            <rFont val="Tahoma"/>
            <family val="2"/>
          </rPr>
          <t xml:space="preserve">Stillingsandelen ved UiO iht tilsettingskontrakt
</t>
        </r>
      </text>
    </comment>
    <comment ref="H10" authorId="0" shapeId="0">
      <text>
        <r>
          <rPr>
            <sz val="10"/>
            <color indexed="81"/>
            <rFont val="Tahoma"/>
            <family val="2"/>
          </rPr>
          <t xml:space="preserve">Maks 12 måneder - skall fylle ut en linje for hvert år i </t>
        </r>
        <r>
          <rPr>
            <sz val="9"/>
            <color indexed="81"/>
            <rFont val="Tahoma"/>
            <family val="2"/>
          </rPr>
          <t>r</t>
        </r>
        <r>
          <rPr>
            <sz val="10"/>
            <color indexed="81"/>
            <rFont val="Tahoma"/>
            <family val="2"/>
          </rPr>
          <t>apporteringsperioden.</t>
        </r>
        <r>
          <rPr>
            <sz val="9"/>
            <color indexed="81"/>
            <rFont val="Tahoma"/>
            <family val="2"/>
          </rPr>
          <t xml:space="preserve">
</t>
        </r>
      </text>
    </comment>
  </commentList>
</comments>
</file>

<file path=xl/comments4.xml><?xml version="1.0" encoding="utf-8"?>
<comments xmlns="http://schemas.openxmlformats.org/spreadsheetml/2006/main">
  <authors>
    <author>Terje Bakke</author>
  </authors>
  <commentList>
    <comment ref="F6" authorId="0" shapeId="0">
      <text>
        <r>
          <rPr>
            <sz val="9"/>
            <color indexed="81"/>
            <rFont val="Tahoma"/>
            <family val="2"/>
          </rPr>
          <t xml:space="preserve">Kilde til Eurokurs for de respektiv rapporteringsperiodene
</t>
        </r>
      </text>
    </comment>
    <comment ref="D8" authorId="0" shapeId="0">
      <text>
        <r>
          <rPr>
            <sz val="12"/>
            <color indexed="81"/>
            <rFont val="Tahoma"/>
            <family val="2"/>
          </rPr>
          <t>Totale lønn inklusive sosiale kostnader ved UiO for sist avsluttede regnskapsår i  rapporteringsperiode, art 5000-5499 - grunnlag for timesatsberegning</t>
        </r>
        <r>
          <rPr>
            <sz val="9"/>
            <color indexed="81"/>
            <rFont val="Tahoma"/>
            <family val="2"/>
          </rPr>
          <t xml:space="preserve">
</t>
        </r>
      </text>
    </comment>
    <comment ref="E8" authorId="0" shapeId="0">
      <text>
        <r>
          <rPr>
            <sz val="16"/>
            <color indexed="81"/>
            <rFont val="Tahoma"/>
            <family val="2"/>
          </rPr>
          <t>Totale lønn inklusive sosiale kostnader ved UiO for rapporteringsperioden (år) art 5000-5499 , samt Nav- refusjoner, Art 5801,5802 og 5812. Dette utgjør maksimalt refusjonsbeløp fra kommisjonen.</t>
        </r>
        <r>
          <rPr>
            <sz val="9"/>
            <color indexed="81"/>
            <rFont val="Tahoma"/>
            <family val="2"/>
          </rPr>
          <t xml:space="preserve">
</t>
        </r>
      </text>
    </comment>
    <comment ref="I8" authorId="0" shapeId="0">
      <text>
        <r>
          <rPr>
            <sz val="9"/>
            <color indexed="81"/>
            <rFont val="Tahoma"/>
            <family val="2"/>
          </rPr>
          <t xml:space="preserve">SE FANEN "BEREGNING AV PRODUKTIVE TIMER VED SYKEFRAVÆR"
</t>
        </r>
      </text>
    </comment>
    <comment ref="F9" authorId="0" shapeId="0">
      <text>
        <r>
          <rPr>
            <sz val="9"/>
            <color indexed="81"/>
            <rFont val="Tahoma"/>
            <family val="2"/>
          </rPr>
          <t xml:space="preserve">Stillingsandelen ved UiO iht tilsettingskontrakt
</t>
        </r>
      </text>
    </comment>
    <comment ref="D15" authorId="0" shapeId="0">
      <text>
        <r>
          <rPr>
            <sz val="9"/>
            <color indexed="81"/>
            <rFont val="Tahoma"/>
            <family val="2"/>
          </rPr>
          <t xml:space="preserve">Maksimalt 1720 timer på 1 år.
</t>
        </r>
      </text>
    </comment>
    <comment ref="E15" authorId="0" shapeId="0">
      <text>
        <r>
          <rPr>
            <sz val="16"/>
            <color indexed="81"/>
            <rFont val="Tahoma"/>
            <family val="2"/>
          </rPr>
          <t>Totale lønn inklusive sosiale kostnader ved UiO for rapporteringsperioden (år) art 5000-5499 , samt Nav- refusjoner, Art 5801,5802 og 5812. Dette utgjør maksimalt refusjonsbeløp fra kommisjonen.</t>
        </r>
        <r>
          <rPr>
            <sz val="9"/>
            <color indexed="81"/>
            <rFont val="Tahoma"/>
            <family val="2"/>
          </rPr>
          <t xml:space="preserve">
</t>
        </r>
      </text>
    </comment>
    <comment ref="F15" authorId="0" shapeId="0">
      <text>
        <r>
          <rPr>
            <sz val="9"/>
            <color indexed="81"/>
            <rFont val="Tahoma"/>
            <family val="2"/>
          </rPr>
          <t xml:space="preserve">Beløpet er maksimalt begrenset oppad til beløpet i kolonne N. 
</t>
        </r>
      </text>
    </comment>
    <comment ref="G15" authorId="0" shapeId="0">
      <text>
        <r>
          <rPr>
            <b/>
            <sz val="9"/>
            <color indexed="81"/>
            <rFont val="Tahoma"/>
            <family val="2"/>
          </rPr>
          <t xml:space="preserve">I H2020 benyttes snittskursen gjennom rapporteringsperioden. Bruk linken i celle H6. </t>
        </r>
        <r>
          <rPr>
            <sz val="9"/>
            <color indexed="81"/>
            <rFont val="Tahoma"/>
            <family val="2"/>
          </rPr>
          <t xml:space="preserve">
</t>
        </r>
      </text>
    </comment>
    <comment ref="H15" authorId="0" shapeId="0">
      <text>
        <r>
          <rPr>
            <sz val="9"/>
            <color indexed="81"/>
            <rFont val="Tahoma"/>
            <family val="2"/>
          </rPr>
          <t xml:space="preserve">Gjeldene snittkurs for rapporteringsperiode
</t>
        </r>
      </text>
    </comment>
  </commentList>
</comments>
</file>

<file path=xl/comments5.xml><?xml version="1.0" encoding="utf-8"?>
<comments xmlns="http://schemas.openxmlformats.org/spreadsheetml/2006/main">
  <authors>
    <author>Terje Bakke</author>
  </authors>
  <commentList>
    <comment ref="F6" authorId="0" shapeId="0">
      <text>
        <r>
          <rPr>
            <sz val="9"/>
            <color indexed="81"/>
            <rFont val="Tahoma"/>
            <family val="2"/>
          </rPr>
          <t xml:space="preserve">Kilde til Eurokurs for de respektiv rapporteringsperiodene
</t>
        </r>
      </text>
    </comment>
    <comment ref="D8" authorId="0" shapeId="0">
      <text>
        <r>
          <rPr>
            <sz val="12"/>
            <color indexed="81"/>
            <rFont val="Tahoma"/>
            <family val="2"/>
          </rPr>
          <t>Totale lønn inklusive sosiale kostnader ved UiO for sist avsluttede regnskapsår i  rapporteringsperiode, art 5000-5499 - grunnlag for timesatsberegning</t>
        </r>
        <r>
          <rPr>
            <sz val="9"/>
            <color indexed="81"/>
            <rFont val="Tahoma"/>
            <family val="2"/>
          </rPr>
          <t xml:space="preserve">
</t>
        </r>
      </text>
    </comment>
    <comment ref="E8" authorId="0" shapeId="0">
      <text>
        <r>
          <rPr>
            <sz val="16"/>
            <color indexed="81"/>
            <rFont val="Tahoma"/>
            <family val="2"/>
          </rPr>
          <t>Totale lønn inklusive sosiale kostnader ved UiO for rapporteringsperioden (år) art 5000-5499 , samt Nav- refusjoner, Art 5801,5802 og 5812. Dette utgjør maksimalt refusjonsbeløp fra kommisjonen.</t>
        </r>
        <r>
          <rPr>
            <sz val="9"/>
            <color indexed="81"/>
            <rFont val="Tahoma"/>
            <family val="2"/>
          </rPr>
          <t xml:space="preserve">
</t>
        </r>
      </text>
    </comment>
    <comment ref="I8" authorId="0" shapeId="0">
      <text>
        <r>
          <rPr>
            <sz val="9"/>
            <color indexed="81"/>
            <rFont val="Tahoma"/>
            <family val="2"/>
          </rPr>
          <t xml:space="preserve">SE FANEN "BEREGNING AV PRODUKTIVE TIMER VED SYKEFRAVÆR"
</t>
        </r>
      </text>
    </comment>
    <comment ref="F9" authorId="0" shapeId="0">
      <text>
        <r>
          <rPr>
            <sz val="9"/>
            <color indexed="81"/>
            <rFont val="Tahoma"/>
            <family val="2"/>
          </rPr>
          <t xml:space="preserve">Stillingsandelen ved UiO iht tilsettingskontrakt
</t>
        </r>
      </text>
    </comment>
    <comment ref="D15" authorId="0" shapeId="0">
      <text>
        <r>
          <rPr>
            <sz val="9"/>
            <color indexed="81"/>
            <rFont val="Tahoma"/>
            <family val="2"/>
          </rPr>
          <t xml:space="preserve">Maksimalt 1720 timer på 1 år.
</t>
        </r>
      </text>
    </comment>
    <comment ref="E15" authorId="0" shapeId="0">
      <text>
        <r>
          <rPr>
            <sz val="16"/>
            <color indexed="81"/>
            <rFont val="Tahoma"/>
            <family val="2"/>
          </rPr>
          <t>Totale lønn inklusive sosiale kostnader ved UiO for rapporteringsperioden (år) art 5000-5499 , samt Nav- refusjoner, Art 5801,5802 og 5812. Dette utgjør maksimalt refusjonsbeløp fra kommisjonen.</t>
        </r>
        <r>
          <rPr>
            <sz val="9"/>
            <color indexed="81"/>
            <rFont val="Tahoma"/>
            <family val="2"/>
          </rPr>
          <t xml:space="preserve">
</t>
        </r>
      </text>
    </comment>
    <comment ref="F15" authorId="0" shapeId="0">
      <text>
        <r>
          <rPr>
            <sz val="9"/>
            <color indexed="81"/>
            <rFont val="Tahoma"/>
            <family val="2"/>
          </rPr>
          <t xml:space="preserve">Beløpet er maksimalt begrenset oppad til beløpet i kolonne N. 
</t>
        </r>
      </text>
    </comment>
    <comment ref="G15" authorId="0" shapeId="0">
      <text>
        <r>
          <rPr>
            <b/>
            <sz val="9"/>
            <color indexed="81"/>
            <rFont val="Tahoma"/>
            <family val="2"/>
          </rPr>
          <t xml:space="preserve">I H2020 benyttes snittskursen gjennom rapporteringsperioden. Bruk linken i celle H6. </t>
        </r>
        <r>
          <rPr>
            <sz val="9"/>
            <color indexed="81"/>
            <rFont val="Tahoma"/>
            <family val="2"/>
          </rPr>
          <t xml:space="preserve">
</t>
        </r>
      </text>
    </comment>
    <comment ref="H15" authorId="0" shapeId="0">
      <text>
        <r>
          <rPr>
            <sz val="9"/>
            <color indexed="81"/>
            <rFont val="Tahoma"/>
            <family val="2"/>
          </rPr>
          <t xml:space="preserve">Gjeldene snittkurs for rapporteringsperiode
</t>
        </r>
      </text>
    </comment>
  </commentList>
</comments>
</file>

<file path=xl/sharedStrings.xml><?xml version="1.0" encoding="utf-8"?>
<sst xmlns="http://schemas.openxmlformats.org/spreadsheetml/2006/main" count="363" uniqueCount="121">
  <si>
    <t>Differanse</t>
  </si>
  <si>
    <t>EUR</t>
  </si>
  <si>
    <t>NOK</t>
  </si>
  <si>
    <t>Bai</t>
  </si>
  <si>
    <t>Brandt</t>
  </si>
  <si>
    <t>Kambourov</t>
  </si>
  <si>
    <t>Lønnskostn SAP</t>
  </si>
  <si>
    <t>Timesats</t>
  </si>
  <si>
    <t>Beløp</t>
  </si>
  <si>
    <t>Totalt</t>
  </si>
  <si>
    <t>Antall mnd</t>
  </si>
  <si>
    <t>Standard årssats</t>
  </si>
  <si>
    <t>Stillingsprosent</t>
  </si>
  <si>
    <t>Standard mnd</t>
  </si>
  <si>
    <t>Productive hours</t>
  </si>
  <si>
    <t>Irarrzabal</t>
  </si>
  <si>
    <t>Fra febr. 2017:</t>
  </si>
  <si>
    <t>10 og 20</t>
  </si>
  <si>
    <t>Form C</t>
  </si>
  <si>
    <t>Personnel</t>
  </si>
  <si>
    <t>kurs</t>
  </si>
  <si>
    <t>Totale lønnskostander iflg p-regnskapet (Form C)</t>
  </si>
  <si>
    <t>Irarrazabal Flores Alfon</t>
  </si>
  <si>
    <t>8 perioder ikke ført på prosjektet?</t>
  </si>
  <si>
    <t>I Tableau mangler 3 mnd frikjøp på Kjetil Storesletten a 52104 kr</t>
  </si>
  <si>
    <t>Lønn iflg SAP juni til desember 2016</t>
  </si>
  <si>
    <t>Lønn iflg SAP jan til november 2017</t>
  </si>
  <si>
    <t>Sum lønn fra lønnssystem prosjekt</t>
  </si>
  <si>
    <t>Lønn iht Tableau juni 2016 til november 2017</t>
  </si>
  <si>
    <t>Frikjøp Storsletten ikke i SAP</t>
  </si>
  <si>
    <t>Totalt utregnet fra økonomirrapport i Tableau</t>
  </si>
  <si>
    <t>Består av:</t>
  </si>
  <si>
    <t>Sum</t>
  </si>
  <si>
    <t>Uforklart differanse, max??</t>
  </si>
  <si>
    <t>1. Avstemming av Form C mot Tableau</t>
  </si>
  <si>
    <t>Equipment</t>
  </si>
  <si>
    <t>Avstemminger FP7 ERC prosjekt</t>
  </si>
  <si>
    <t>Avstemming av SAP mot Tableau</t>
  </si>
  <si>
    <t>2. Avstemming av Equipment</t>
  </si>
  <si>
    <t>Anleggsregister</t>
  </si>
  <si>
    <t>Beløp ex mva til avskrivning</t>
  </si>
  <si>
    <t>Tabelau</t>
  </si>
  <si>
    <t>Forklaring</t>
  </si>
  <si>
    <t>3. Avstemming av Consumables</t>
  </si>
  <si>
    <t>4. Avstemming av travel</t>
  </si>
  <si>
    <t>5. Avstemmin av publications</t>
  </si>
  <si>
    <t>6. Avstemming av other</t>
  </si>
  <si>
    <t>Indirekte kostnader 20%</t>
  </si>
  <si>
    <t>Totale direkte kostnader</t>
  </si>
  <si>
    <t>Subcontracting</t>
  </si>
  <si>
    <t>(iht DoW)</t>
  </si>
  <si>
    <t>Total request grant</t>
  </si>
  <si>
    <t>Oppsummering</t>
  </si>
  <si>
    <t>Regnskap</t>
  </si>
  <si>
    <t>Consumables</t>
  </si>
  <si>
    <t>Travel</t>
  </si>
  <si>
    <t>Publications</t>
  </si>
  <si>
    <t>Other</t>
  </si>
  <si>
    <t>Total direct costs</t>
  </si>
  <si>
    <t>Indirect costs</t>
  </si>
  <si>
    <t>Total</t>
  </si>
  <si>
    <t>antall måneder</t>
  </si>
  <si>
    <t>Euro</t>
  </si>
  <si>
    <t>Kalkulasjon av produktive timer</t>
  </si>
  <si>
    <t>%-andel</t>
  </si>
  <si>
    <t>Prosjektdeltaker</t>
  </si>
  <si>
    <t>Summering av prosjektperioden</t>
  </si>
  <si>
    <t>Eurokurs</t>
  </si>
  <si>
    <t xml:space="preserve">Antall årlige produktive timer ved UiO: </t>
  </si>
  <si>
    <t>Antall månedlige produktive timer:</t>
  </si>
  <si>
    <t>Stillingsandel ved UiO</t>
  </si>
  <si>
    <t>Stillingsandel ved UiO ( fylles inn om endring i rapporteringsperioden)</t>
  </si>
  <si>
    <t>Produktive timer</t>
  </si>
  <si>
    <t>Beløp nok</t>
  </si>
  <si>
    <t>Sum av timelister</t>
  </si>
  <si>
    <t>Refusjonskrav EU</t>
  </si>
  <si>
    <t>Tidligere refusjonskrav mot EU</t>
  </si>
  <si>
    <t>Timepris Nok</t>
  </si>
  <si>
    <t>Timepris Euro</t>
  </si>
  <si>
    <t>Beløp Euro</t>
  </si>
  <si>
    <t>ECB euro reference exchange rate: Norwegian krone (NOK)</t>
  </si>
  <si>
    <t>Timeprisberegning og refusjonsgrunnlag H2020</t>
  </si>
  <si>
    <t>Rapporteringsperiode:</t>
  </si>
  <si>
    <t xml:space="preserve">Personalkostnader SAP fra sist avsluttede regnskapsår </t>
  </si>
  <si>
    <t>Navn:</t>
  </si>
  <si>
    <t>Finansieringsår</t>
  </si>
  <si>
    <t xml:space="preserve">Maksimalt refusjonskrav fra EU </t>
  </si>
  <si>
    <t>Bergning av refusjonskrav mot Kommisjonen</t>
  </si>
  <si>
    <t>Kalkulering av timpris</t>
  </si>
  <si>
    <t>År</t>
  </si>
  <si>
    <t>Regnskapsår</t>
  </si>
  <si>
    <t>Antall måneder</t>
  </si>
  <si>
    <t xml:space="preserve">Personalkostnader fra SAP fratrukket Nav - refusjoner </t>
  </si>
  <si>
    <t xml:space="preserve">januar </t>
  </si>
  <si>
    <t>februar</t>
  </si>
  <si>
    <t>mars</t>
  </si>
  <si>
    <t>april</t>
  </si>
  <si>
    <t>mai</t>
  </si>
  <si>
    <t>juni</t>
  </si>
  <si>
    <t>juli</t>
  </si>
  <si>
    <t>august</t>
  </si>
  <si>
    <t>september</t>
  </si>
  <si>
    <t>oktober</t>
  </si>
  <si>
    <t>november</t>
  </si>
  <si>
    <t>desember</t>
  </si>
  <si>
    <t>Produktiv tid</t>
  </si>
  <si>
    <t>Periode</t>
  </si>
  <si>
    <t>Stillingsandel</t>
  </si>
  <si>
    <t>Permisjon</t>
  </si>
  <si>
    <t>Beregning av produktive timer ved sykefravær:</t>
  </si>
  <si>
    <t>Sum produktive timer</t>
  </si>
  <si>
    <t>Person:</t>
  </si>
  <si>
    <t>Produktive timer ved langtids sykefravær/fødselspermisjon</t>
  </si>
  <si>
    <t>År:</t>
  </si>
  <si>
    <t>Beregning av produktive timer ved langtids sykefravær og fødselspermisjon</t>
  </si>
  <si>
    <t>Refusjonskrav NOK</t>
  </si>
  <si>
    <t>Refusjonskrav Euro</t>
  </si>
  <si>
    <t>Personalkostnader fra SAP fratrukket Nav - refusjoner (sist avsluttede regnskapsår)</t>
  </si>
  <si>
    <t xml:space="preserve">Personalkostnader fra SAP inneværende år </t>
  </si>
  <si>
    <t>Rapporteringsår</t>
  </si>
  <si>
    <t>Kommentar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</si>
</sst>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_(* #,##0.00_);_(* \(#,##0.00\);_(* &quot;-&quot;??_);_(@_)"/>
    <numFmt numFmtId="166" formatCode="0.00_ ;[Red]\-0.00\ "/>
    <numFmt numFmtId="167" formatCode="_ * #,##0_ ;_ * \-#,##0_ ;_ * &quot;-&quot;??_ ;_ @_ "/>
    <numFmt numFmtId="168" formatCode="_ * #,##0.0_ ;_ * \-#,##0.0_ ;_ * &quot;-&quot;??_ ;_ @_ "/>
    <numFmt numFmtId="169" formatCode="0.0"/>
    <numFmt numFmtId="170" formatCode="0.00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0"/>
      <name val="Tahoma"/>
      <family val="2"/>
    </font>
    <font>
      <sz val="18"/>
      <color theme="3"/>
      <name val="Cambria"/>
      <family val="2"/>
      <scheme val="major"/>
    </font>
    <font>
      <sz val="10"/>
      <color theme="1"/>
      <name val="Calibri"/>
      <family val="2"/>
      <scheme val="minor"/>
    </font>
    <font>
      <sz val="9"/>
      <color indexed="81"/>
      <name val="Tahoma"/>
      <family val="2"/>
    </font>
    <font>
      <b/>
      <sz val="9"/>
      <color indexed="81"/>
      <name val="Tahoma"/>
      <family val="2"/>
    </font>
    <font>
      <sz val="11"/>
      <name val="Calibri"/>
      <family val="2"/>
      <scheme val="minor"/>
    </font>
    <font>
      <b/>
      <sz val="12"/>
      <color theme="1"/>
      <name val="Calibri"/>
      <family val="2"/>
      <scheme val="minor"/>
    </font>
    <font>
      <sz val="12"/>
      <color theme="1"/>
      <name val="Calibri"/>
      <family val="2"/>
      <scheme val="minor"/>
    </font>
    <font>
      <u/>
      <sz val="10"/>
      <color theme="10"/>
      <name val="Arial"/>
      <family val="2"/>
    </font>
    <font>
      <sz val="10"/>
      <color indexed="81"/>
      <name val="Tahoma"/>
      <family val="2"/>
    </font>
    <font>
      <sz val="12"/>
      <color indexed="81"/>
      <name val="Tahoma"/>
      <family val="2"/>
    </font>
    <font>
      <sz val="16"/>
      <color indexed="81"/>
      <name val="Tahoma"/>
      <family val="2"/>
    </font>
    <font>
      <b/>
      <sz val="14"/>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59999389629810485"/>
        <bgColor indexed="64"/>
      </patternFill>
    </fill>
  </fills>
  <borders count="48">
    <border>
      <left/>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style="medium">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50">
    <xf numFmtId="0" fontId="0" fillId="0" borderId="0"/>
    <xf numFmtId="164" fontId="1" fillId="0" borderId="0" applyFon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5" applyNumberFormat="0" applyAlignment="0" applyProtection="0"/>
    <xf numFmtId="0" fontId="11" fillId="6" borderId="6" applyNumberFormat="0" applyAlignment="0" applyProtection="0"/>
    <xf numFmtId="0" fontId="12" fillId="6" borderId="5" applyNumberFormat="0" applyAlignment="0" applyProtection="0"/>
    <xf numFmtId="0" fontId="13" fillId="0" borderId="7" applyNumberFormat="0" applyFill="0" applyAlignment="0" applyProtection="0"/>
    <xf numFmtId="0" fontId="14" fillId="7" borderId="8" applyNumberFormat="0" applyAlignment="0" applyProtection="0"/>
    <xf numFmtId="0" fontId="3" fillId="0" borderId="0" applyNumberFormat="0" applyFill="0" applyBorder="0" applyAlignment="0" applyProtection="0"/>
    <xf numFmtId="0" fontId="15" fillId="0" borderId="0" applyNumberFormat="0" applyFill="0" applyBorder="0" applyAlignment="0" applyProtection="0"/>
    <xf numFmtId="0" fontId="2" fillId="0" borderId="10"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xf numFmtId="165" fontId="18" fillId="0" borderId="0" applyFont="0" applyFill="0" applyBorder="0" applyAlignment="0" applyProtection="0"/>
    <xf numFmtId="0" fontId="19" fillId="0" borderId="0" applyNumberFormat="0" applyFill="0" applyBorder="0" applyAlignment="0" applyProtection="0"/>
    <xf numFmtId="0" fontId="1" fillId="8" borderId="9" applyNumberFormat="0" applyFont="0" applyAlignment="0" applyProtection="0"/>
    <xf numFmtId="165" fontId="18" fillId="0" borderId="0" applyFont="0" applyFill="0" applyBorder="0" applyAlignment="0" applyProtection="0"/>
    <xf numFmtId="0" fontId="20" fillId="0" borderId="0"/>
    <xf numFmtId="164" fontId="17"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alignment vertical="top"/>
      <protection locked="0"/>
    </xf>
  </cellStyleXfs>
  <cellXfs count="176">
    <xf numFmtId="0" fontId="0" fillId="0" borderId="0" xfId="0"/>
    <xf numFmtId="0" fontId="0" fillId="0" borderId="1" xfId="0" applyBorder="1"/>
    <xf numFmtId="0" fontId="2" fillId="0" borderId="0" xfId="0" applyFont="1"/>
    <xf numFmtId="164" fontId="0" fillId="0" borderId="0" xfId="1" applyFont="1"/>
    <xf numFmtId="164" fontId="0" fillId="0" borderId="0" xfId="0" applyNumberFormat="1"/>
    <xf numFmtId="0" fontId="0" fillId="0" borderId="0" xfId="0" applyFont="1" applyFill="1" applyBorder="1"/>
    <xf numFmtId="0" fontId="2" fillId="0" borderId="0" xfId="0" applyFont="1" applyFill="1" applyBorder="1"/>
    <xf numFmtId="0" fontId="0" fillId="0" borderId="0" xfId="0" applyBorder="1"/>
    <xf numFmtId="164" fontId="0" fillId="0" borderId="0" xfId="1" applyFont="1" applyBorder="1" applyAlignment="1">
      <alignment horizontal="right"/>
    </xf>
    <xf numFmtId="0" fontId="0" fillId="0" borderId="0" xfId="0"/>
    <xf numFmtId="0" fontId="0" fillId="0" borderId="11" xfId="0" applyBorder="1"/>
    <xf numFmtId="2" fontId="0" fillId="0" borderId="0" xfId="0" applyNumberFormat="1"/>
    <xf numFmtId="9" fontId="0" fillId="0" borderId="0" xfId="0" applyNumberFormat="1"/>
    <xf numFmtId="2" fontId="0" fillId="0" borderId="1" xfId="0" applyNumberFormat="1" applyBorder="1"/>
    <xf numFmtId="164" fontId="0" fillId="0" borderId="0" xfId="1" applyFont="1" applyAlignment="1">
      <alignment horizontal="right" indent="1"/>
    </xf>
    <xf numFmtId="164" fontId="0" fillId="0" borderId="12" xfId="1" applyFont="1" applyBorder="1"/>
    <xf numFmtId="0" fontId="0" fillId="0" borderId="13" xfId="0" applyBorder="1"/>
    <xf numFmtId="166" fontId="0" fillId="0" borderId="0" xfId="0" applyNumberFormat="1"/>
    <xf numFmtId="164" fontId="0" fillId="0" borderId="14" xfId="1" applyFont="1" applyBorder="1"/>
    <xf numFmtId="2" fontId="0" fillId="0" borderId="15" xfId="0" applyNumberFormat="1" applyBorder="1"/>
    <xf numFmtId="164" fontId="2" fillId="0" borderId="0" xfId="1" applyFont="1" applyAlignment="1">
      <alignment horizontal="right"/>
    </xf>
    <xf numFmtId="164" fontId="2" fillId="0" borderId="0" xfId="1" applyFont="1"/>
    <xf numFmtId="164" fontId="0" fillId="0" borderId="1" xfId="1" applyFont="1" applyBorder="1"/>
    <xf numFmtId="164" fontId="0" fillId="0" borderId="0" xfId="1" applyFont="1" applyBorder="1"/>
    <xf numFmtId="0" fontId="0" fillId="0" borderId="0" xfId="0" applyFill="1" applyBorder="1"/>
    <xf numFmtId="164" fontId="0" fillId="0" borderId="1" xfId="0" applyNumberFormat="1" applyBorder="1"/>
    <xf numFmtId="164" fontId="0" fillId="0" borderId="0" xfId="0" applyNumberFormat="1" applyBorder="1"/>
    <xf numFmtId="0" fontId="0" fillId="0" borderId="1" xfId="0" applyFill="1" applyBorder="1"/>
    <xf numFmtId="0" fontId="23" fillId="0" borderId="0" xfId="0" applyFont="1"/>
    <xf numFmtId="0" fontId="2" fillId="0" borderId="0" xfId="0" applyFont="1" applyBorder="1"/>
    <xf numFmtId="164" fontId="2" fillId="0" borderId="0" xfId="1" applyFont="1"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2" fillId="0" borderId="21" xfId="0" applyFont="1" applyBorder="1"/>
    <xf numFmtId="0" fontId="0" fillId="0" borderId="22" xfId="0" applyBorder="1"/>
    <xf numFmtId="0" fontId="0" fillId="0" borderId="21" xfId="0" applyBorder="1"/>
    <xf numFmtId="0" fontId="0" fillId="0" borderId="23" xfId="0" applyBorder="1"/>
    <xf numFmtId="0" fontId="0" fillId="0" borderId="24" xfId="0" applyBorder="1"/>
    <xf numFmtId="164" fontId="0" fillId="0" borderId="16" xfId="1" applyFont="1" applyBorder="1"/>
    <xf numFmtId="0" fontId="0" fillId="0" borderId="16" xfId="0" applyBorder="1" applyAlignment="1">
      <alignment horizontal="right"/>
    </xf>
    <xf numFmtId="1" fontId="0" fillId="0" borderId="16" xfId="0" applyNumberFormat="1" applyBorder="1"/>
    <xf numFmtId="0" fontId="0" fillId="34" borderId="0" xfId="0" applyFont="1" applyFill="1" applyBorder="1"/>
    <xf numFmtId="0" fontId="2" fillId="34" borderId="0" xfId="0" applyFont="1" applyFill="1"/>
    <xf numFmtId="0" fontId="0" fillId="34" borderId="0" xfId="0" applyFill="1" applyBorder="1" applyAlignment="1">
      <alignment horizontal="right"/>
    </xf>
    <xf numFmtId="0" fontId="0" fillId="34" borderId="0" xfId="0" applyFill="1" applyBorder="1"/>
    <xf numFmtId="0" fontId="0" fillId="34" borderId="25" xfId="0" applyFill="1" applyBorder="1" applyAlignment="1">
      <alignment horizontal="right"/>
    </xf>
    <xf numFmtId="0" fontId="0" fillId="34" borderId="27" xfId="0" applyFill="1" applyBorder="1" applyAlignment="1">
      <alignment horizontal="center"/>
    </xf>
    <xf numFmtId="0" fontId="0" fillId="34" borderId="30" xfId="0" applyFill="1" applyBorder="1" applyAlignment="1">
      <alignment horizontal="center"/>
    </xf>
    <xf numFmtId="0" fontId="0" fillId="34" borderId="32" xfId="0" applyFill="1" applyBorder="1" applyAlignment="1">
      <alignment horizontal="center"/>
    </xf>
    <xf numFmtId="0" fontId="0" fillId="0" borderId="31" xfId="0" applyBorder="1"/>
    <xf numFmtId="167" fontId="0" fillId="0" borderId="16" xfId="1" applyNumberFormat="1" applyFont="1" applyBorder="1" applyAlignment="1">
      <alignment horizontal="right"/>
    </xf>
    <xf numFmtId="1" fontId="0" fillId="0" borderId="31" xfId="0" applyNumberFormat="1" applyBorder="1"/>
    <xf numFmtId="1" fontId="0" fillId="0" borderId="24" xfId="0" applyNumberFormat="1" applyBorder="1"/>
    <xf numFmtId="0" fontId="24" fillId="34" borderId="26" xfId="0" applyFont="1" applyFill="1" applyBorder="1" applyAlignment="1"/>
    <xf numFmtId="0" fontId="24" fillId="34" borderId="1" xfId="0" applyFont="1" applyFill="1" applyBorder="1" applyAlignment="1"/>
    <xf numFmtId="1" fontId="0" fillId="0" borderId="0" xfId="0" applyNumberFormat="1" applyBorder="1"/>
    <xf numFmtId="0" fontId="0" fillId="33" borderId="16" xfId="0" applyFill="1" applyBorder="1" applyProtection="1">
      <protection locked="0"/>
    </xf>
    <xf numFmtId="170" fontId="0" fillId="33" borderId="16" xfId="0" applyNumberFormat="1" applyFill="1" applyBorder="1" applyProtection="1">
      <protection locked="0"/>
    </xf>
    <xf numFmtId="167" fontId="0" fillId="33" borderId="31" xfId="0" applyNumberFormat="1" applyFill="1" applyBorder="1" applyProtection="1">
      <protection locked="0"/>
    </xf>
    <xf numFmtId="9" fontId="0" fillId="33" borderId="31" xfId="48" applyFont="1" applyFill="1" applyBorder="1" applyProtection="1">
      <protection locked="0"/>
    </xf>
    <xf numFmtId="168" fontId="0" fillId="33" borderId="31" xfId="1" applyNumberFormat="1" applyFont="1" applyFill="1" applyBorder="1" applyProtection="1">
      <protection locked="0"/>
    </xf>
    <xf numFmtId="9" fontId="0" fillId="33" borderId="16" xfId="48" applyFont="1" applyFill="1" applyBorder="1" applyProtection="1">
      <protection locked="0"/>
    </xf>
    <xf numFmtId="167" fontId="0" fillId="34" borderId="35" xfId="1" applyNumberFormat="1" applyFont="1" applyFill="1" applyBorder="1" applyAlignment="1">
      <alignment horizontal="right"/>
    </xf>
    <xf numFmtId="167" fontId="0" fillId="34" borderId="36" xfId="1" applyNumberFormat="1" applyFont="1" applyFill="1" applyBorder="1" applyAlignment="1">
      <alignment horizontal="right"/>
    </xf>
    <xf numFmtId="167" fontId="0" fillId="34" borderId="37" xfId="1" applyNumberFormat="1" applyFont="1" applyFill="1" applyBorder="1" applyAlignment="1">
      <alignment horizontal="right"/>
    </xf>
    <xf numFmtId="167" fontId="0" fillId="34" borderId="27" xfId="1" applyNumberFormat="1" applyFont="1" applyFill="1" applyBorder="1" applyAlignment="1">
      <alignment horizontal="right"/>
    </xf>
    <xf numFmtId="3" fontId="0" fillId="34" borderId="27" xfId="0" applyNumberFormat="1" applyFill="1" applyBorder="1"/>
    <xf numFmtId="169" fontId="0" fillId="0" borderId="16" xfId="0" applyNumberFormat="1" applyBorder="1"/>
    <xf numFmtId="167" fontId="24" fillId="34" borderId="28" xfId="0" applyNumberFormat="1" applyFont="1" applyFill="1" applyBorder="1" applyAlignment="1"/>
    <xf numFmtId="0" fontId="24" fillId="34" borderId="29" xfId="0" applyFont="1" applyFill="1" applyBorder="1" applyAlignment="1"/>
    <xf numFmtId="0" fontId="0" fillId="34" borderId="11" xfId="0" applyFill="1" applyBorder="1" applyAlignment="1">
      <alignment horizontal="center"/>
    </xf>
    <xf numFmtId="0" fontId="25" fillId="34" borderId="29" xfId="0" applyFont="1" applyFill="1" applyBorder="1" applyAlignment="1"/>
    <xf numFmtId="0" fontId="26" fillId="0" borderId="0" xfId="49" applyAlignment="1" applyProtection="1"/>
    <xf numFmtId="2" fontId="0" fillId="33" borderId="16" xfId="48" applyNumberFormat="1" applyFont="1" applyFill="1" applyBorder="1" applyProtection="1">
      <protection locked="0"/>
    </xf>
    <xf numFmtId="0" fontId="0" fillId="0" borderId="33" xfId="0" applyBorder="1"/>
    <xf numFmtId="167" fontId="0" fillId="33" borderId="31" xfId="1" applyNumberFormat="1" applyFont="1" applyFill="1" applyBorder="1" applyAlignment="1" applyProtection="1">
      <alignment horizontal="left" vertical="center"/>
      <protection locked="0"/>
    </xf>
    <xf numFmtId="167" fontId="0" fillId="33" borderId="31" xfId="1" applyNumberFormat="1" applyFont="1" applyFill="1" applyBorder="1" applyProtection="1">
      <protection locked="0"/>
    </xf>
    <xf numFmtId="0" fontId="0" fillId="36" borderId="32" xfId="0" applyFill="1" applyBorder="1" applyAlignment="1" applyProtection="1">
      <alignment horizontal="center" vertical="center"/>
    </xf>
    <xf numFmtId="0" fontId="0" fillId="37" borderId="0" xfId="0" applyFill="1" applyBorder="1" applyAlignment="1">
      <alignment horizontal="center" vertical="center" wrapText="1"/>
    </xf>
    <xf numFmtId="9" fontId="0" fillId="37" borderId="0" xfId="48" applyFont="1" applyFill="1" applyBorder="1" applyProtection="1">
      <protection locked="0"/>
    </xf>
    <xf numFmtId="1" fontId="0" fillId="37" borderId="0" xfId="0" applyNumberFormat="1" applyFill="1" applyBorder="1"/>
    <xf numFmtId="0" fontId="24" fillId="37" borderId="0" xfId="0" applyFont="1" applyFill="1" applyBorder="1" applyAlignment="1"/>
    <xf numFmtId="1" fontId="25" fillId="37" borderId="0" xfId="0" applyNumberFormat="1" applyFont="1" applyFill="1" applyBorder="1" applyAlignment="1"/>
    <xf numFmtId="0" fontId="0" fillId="37" borderId="0" xfId="0" applyFill="1" applyBorder="1" applyAlignment="1">
      <alignment horizontal="center" wrapText="1"/>
    </xf>
    <xf numFmtId="0" fontId="0" fillId="35" borderId="27" xfId="0" applyFont="1" applyFill="1" applyBorder="1" applyAlignment="1">
      <alignment horizontal="center" vertical="center"/>
    </xf>
    <xf numFmtId="0" fontId="0" fillId="36" borderId="23" xfId="0" applyFill="1" applyBorder="1" applyAlignment="1" applyProtection="1">
      <alignment horizontal="center" vertical="center"/>
    </xf>
    <xf numFmtId="0" fontId="0" fillId="36" borderId="0" xfId="0" applyFill="1" applyBorder="1" applyAlignment="1" applyProtection="1">
      <alignment horizontal="center" vertical="center"/>
    </xf>
    <xf numFmtId="0" fontId="0" fillId="34" borderId="27" xfId="0" applyFont="1" applyFill="1" applyBorder="1" applyAlignment="1">
      <alignment horizontal="center" vertical="center"/>
    </xf>
    <xf numFmtId="1" fontId="0" fillId="0" borderId="0" xfId="0" applyNumberFormat="1"/>
    <xf numFmtId="0" fontId="2" fillId="0" borderId="16" xfId="0" applyFont="1" applyBorder="1"/>
    <xf numFmtId="9" fontId="0" fillId="0" borderId="16" xfId="48" applyFont="1" applyBorder="1"/>
    <xf numFmtId="1" fontId="0" fillId="33" borderId="31" xfId="0" applyNumberFormat="1" applyFill="1" applyBorder="1"/>
    <xf numFmtId="0" fontId="0" fillId="35" borderId="16" xfId="0" applyFill="1" applyBorder="1"/>
    <xf numFmtId="1" fontId="0" fillId="35" borderId="17" xfId="0" applyNumberFormat="1" applyFill="1" applyBorder="1"/>
    <xf numFmtId="0" fontId="2" fillId="36" borderId="20" xfId="0" applyFont="1" applyFill="1" applyBorder="1" applyAlignment="1">
      <alignment horizontal="center" vertical="center"/>
    </xf>
    <xf numFmtId="0" fontId="2" fillId="36" borderId="24" xfId="0" applyFont="1" applyFill="1" applyBorder="1" applyAlignment="1">
      <alignment horizontal="center" vertical="center"/>
    </xf>
    <xf numFmtId="167" fontId="0" fillId="33" borderId="31" xfId="0" applyNumberFormat="1" applyFill="1" applyBorder="1" applyAlignment="1" applyProtection="1">
      <protection locked="0"/>
    </xf>
    <xf numFmtId="167" fontId="0" fillId="37" borderId="31" xfId="0" applyNumberFormat="1" applyFill="1" applyBorder="1" applyAlignment="1" applyProtection="1">
      <alignment horizontal="left"/>
      <protection hidden="1"/>
    </xf>
    <xf numFmtId="0" fontId="2" fillId="36" borderId="20" xfId="0" applyFont="1" applyFill="1" applyBorder="1" applyAlignment="1">
      <alignment horizontal="center" vertical="center"/>
    </xf>
    <xf numFmtId="0" fontId="2" fillId="36" borderId="24" xfId="0" applyFont="1" applyFill="1" applyBorder="1" applyAlignment="1">
      <alignment horizontal="center" vertical="center"/>
    </xf>
    <xf numFmtId="0" fontId="0" fillId="33" borderId="42" xfId="1" applyNumberFormat="1" applyFont="1" applyFill="1" applyBorder="1" applyAlignment="1" applyProtection="1">
      <alignment horizontal="right" vertical="center"/>
      <protection locked="0"/>
    </xf>
    <xf numFmtId="0" fontId="3" fillId="0" borderId="0" xfId="0" applyFont="1"/>
    <xf numFmtId="0" fontId="0" fillId="33" borderId="16" xfId="0" applyFill="1" applyBorder="1"/>
    <xf numFmtId="0" fontId="30" fillId="0" borderId="0" xfId="0" applyFont="1"/>
    <xf numFmtId="0" fontId="0" fillId="0" borderId="0" xfId="0" applyAlignment="1">
      <alignment wrapText="1"/>
    </xf>
    <xf numFmtId="0" fontId="2" fillId="0" borderId="16" xfId="0" applyFont="1" applyBorder="1" applyAlignment="1">
      <alignment wrapText="1"/>
    </xf>
    <xf numFmtId="0" fontId="0" fillId="0" borderId="16" xfId="0" applyBorder="1" applyAlignment="1">
      <alignment wrapText="1"/>
    </xf>
    <xf numFmtId="9" fontId="0" fillId="0" borderId="16" xfId="48" applyFont="1" applyBorder="1" applyAlignment="1">
      <alignment wrapText="1"/>
    </xf>
    <xf numFmtId="1" fontId="0" fillId="0" borderId="16" xfId="0" applyNumberFormat="1" applyBorder="1" applyAlignment="1">
      <alignment wrapText="1"/>
    </xf>
    <xf numFmtId="0" fontId="2" fillId="35" borderId="44" xfId="0" applyFont="1" applyFill="1" applyBorder="1" applyAlignment="1">
      <alignment vertical="center" wrapText="1"/>
    </xf>
    <xf numFmtId="0" fontId="2" fillId="35" borderId="45" xfId="0" applyFont="1" applyFill="1" applyBorder="1" applyAlignment="1">
      <alignment vertical="center" wrapText="1"/>
    </xf>
    <xf numFmtId="0" fontId="2" fillId="35" borderId="46" xfId="0" applyFont="1" applyFill="1" applyBorder="1" applyAlignment="1">
      <alignment vertical="center" wrapText="1"/>
    </xf>
    <xf numFmtId="0" fontId="0" fillId="33" borderId="44" xfId="0" applyFill="1" applyBorder="1" applyAlignment="1" applyProtection="1">
      <alignment horizontal="left" vertical="top" wrapText="1"/>
      <protection locked="0"/>
    </xf>
    <xf numFmtId="0" fontId="0" fillId="33" borderId="45" xfId="0" applyFill="1" applyBorder="1" applyAlignment="1" applyProtection="1">
      <alignment horizontal="left" vertical="top" wrapText="1"/>
      <protection locked="0"/>
    </xf>
    <xf numFmtId="0" fontId="0" fillId="33" borderId="46" xfId="0" applyFill="1" applyBorder="1" applyAlignment="1" applyProtection="1">
      <alignment horizontal="left" vertical="top" wrapText="1"/>
      <protection locked="0"/>
    </xf>
    <xf numFmtId="0" fontId="0" fillId="33" borderId="47" xfId="0" applyFill="1" applyBorder="1" applyAlignment="1" applyProtection="1">
      <alignment horizontal="left" vertical="top" wrapText="1"/>
      <protection locked="0"/>
    </xf>
    <xf numFmtId="0" fontId="0" fillId="33" borderId="13" xfId="0" applyFill="1" applyBorder="1" applyAlignment="1" applyProtection="1">
      <alignment horizontal="left" vertical="top" wrapText="1"/>
      <protection locked="0"/>
    </xf>
    <xf numFmtId="0" fontId="0" fillId="33" borderId="42" xfId="0" applyFill="1" applyBorder="1" applyAlignment="1" applyProtection="1">
      <alignment horizontal="left" vertical="top" wrapText="1"/>
      <protection locked="0"/>
    </xf>
    <xf numFmtId="0" fontId="0" fillId="34" borderId="44" xfId="0" applyFill="1" applyBorder="1" applyAlignment="1">
      <alignment horizontal="center" vertical="center" wrapText="1"/>
    </xf>
    <xf numFmtId="0" fontId="0" fillId="34" borderId="46" xfId="0" applyFill="1" applyBorder="1" applyAlignment="1">
      <alignment horizontal="center" vertical="center" wrapText="1"/>
    </xf>
    <xf numFmtId="0" fontId="0" fillId="34" borderId="47" xfId="0" applyFill="1" applyBorder="1" applyAlignment="1">
      <alignment horizontal="center" vertical="center" wrapText="1"/>
    </xf>
    <xf numFmtId="0" fontId="0" fillId="34" borderId="42" xfId="0" applyFill="1" applyBorder="1" applyAlignment="1">
      <alignment horizontal="center" vertical="center" wrapText="1"/>
    </xf>
    <xf numFmtId="0" fontId="2" fillId="36" borderId="18" xfId="0" applyFont="1" applyFill="1" applyBorder="1" applyAlignment="1">
      <alignment horizontal="center" vertical="center"/>
    </xf>
    <xf numFmtId="0" fontId="2" fillId="36" borderId="19" xfId="0" applyFont="1" applyFill="1" applyBorder="1" applyAlignment="1">
      <alignment horizontal="center" vertical="center"/>
    </xf>
    <xf numFmtId="0" fontId="2" fillId="36" borderId="23" xfId="0" applyFont="1" applyFill="1" applyBorder="1" applyAlignment="1">
      <alignment horizontal="center" vertical="center"/>
    </xf>
    <xf numFmtId="0" fontId="2" fillId="36" borderId="11" xfId="0" applyFont="1" applyFill="1" applyBorder="1" applyAlignment="1">
      <alignment horizontal="center" vertical="center"/>
    </xf>
    <xf numFmtId="0" fontId="24" fillId="38" borderId="33" xfId="0" applyFont="1" applyFill="1" applyBorder="1" applyAlignment="1">
      <alignment horizontal="center" vertical="center" wrapText="1"/>
    </xf>
    <xf numFmtId="0" fontId="24" fillId="38" borderId="43" xfId="0" applyFont="1" applyFill="1" applyBorder="1" applyAlignment="1">
      <alignment horizontal="center" vertical="center" wrapText="1"/>
    </xf>
    <xf numFmtId="0" fontId="24" fillId="38" borderId="32" xfId="0" applyFont="1" applyFill="1" applyBorder="1" applyAlignment="1">
      <alignment horizontal="center" vertical="center" wrapText="1"/>
    </xf>
    <xf numFmtId="0" fontId="0" fillId="0" borderId="33" xfId="0" applyBorder="1" applyAlignment="1">
      <alignment horizontal="center"/>
    </xf>
    <xf numFmtId="0" fontId="0" fillId="0" borderId="43" xfId="0" applyBorder="1" applyAlignment="1">
      <alignment horizontal="center"/>
    </xf>
    <xf numFmtId="0" fontId="0" fillId="0" borderId="32" xfId="0" applyBorder="1" applyAlignment="1">
      <alignment horizontal="center"/>
    </xf>
    <xf numFmtId="0" fontId="0" fillId="34" borderId="33" xfId="0" applyFont="1" applyFill="1" applyBorder="1" applyAlignment="1">
      <alignment horizontal="center" vertical="center" wrapText="1"/>
    </xf>
    <xf numFmtId="0" fontId="0" fillId="34" borderId="32" xfId="0" applyFont="1" applyFill="1" applyBorder="1" applyAlignment="1">
      <alignment horizontal="center" vertical="center" wrapText="1"/>
    </xf>
    <xf numFmtId="0" fontId="0" fillId="34" borderId="33" xfId="0" applyFill="1" applyBorder="1" applyAlignment="1">
      <alignment horizontal="center" vertical="center"/>
    </xf>
    <xf numFmtId="0" fontId="0" fillId="34" borderId="32" xfId="0" applyFill="1" applyBorder="1" applyAlignment="1">
      <alignment horizontal="center" vertical="center"/>
    </xf>
    <xf numFmtId="0" fontId="0" fillId="0" borderId="18" xfId="0" applyBorder="1" applyAlignment="1">
      <alignment horizontal="center"/>
    </xf>
    <xf numFmtId="0" fontId="0" fillId="0" borderId="20" xfId="0" applyBorder="1" applyAlignment="1">
      <alignment horizontal="center"/>
    </xf>
    <xf numFmtId="0" fontId="0" fillId="33" borderId="23" xfId="0" applyFill="1" applyBorder="1" applyAlignment="1" applyProtection="1">
      <alignment horizontal="center" vertical="center"/>
      <protection locked="0"/>
    </xf>
    <xf numFmtId="0" fontId="0" fillId="33" borderId="24" xfId="0" applyFill="1" applyBorder="1" applyAlignment="1" applyProtection="1">
      <alignment horizontal="center" vertical="center"/>
      <protection locked="0"/>
    </xf>
    <xf numFmtId="0" fontId="0" fillId="34" borderId="33" xfId="0" applyFill="1" applyBorder="1" applyAlignment="1">
      <alignment horizontal="center" vertical="center" wrapText="1"/>
    </xf>
    <xf numFmtId="0" fontId="0" fillId="34" borderId="32" xfId="0" applyFill="1" applyBorder="1" applyAlignment="1">
      <alignment horizontal="center" vertical="center" wrapText="1"/>
    </xf>
    <xf numFmtId="0" fontId="0" fillId="34" borderId="20" xfId="0" applyFill="1" applyBorder="1" applyAlignment="1">
      <alignment horizontal="center" vertical="center" wrapText="1"/>
    </xf>
    <xf numFmtId="0" fontId="0" fillId="34" borderId="24" xfId="0" applyFill="1" applyBorder="1" applyAlignment="1">
      <alignment horizontal="center" vertical="center" wrapText="1"/>
    </xf>
    <xf numFmtId="0" fontId="2" fillId="34" borderId="33" xfId="0" applyFont="1" applyFill="1" applyBorder="1" applyAlignment="1">
      <alignment horizontal="center" vertical="center"/>
    </xf>
    <xf numFmtId="0" fontId="2" fillId="34" borderId="32" xfId="0" applyFont="1" applyFill="1" applyBorder="1" applyAlignment="1">
      <alignment horizontal="center" vertical="center"/>
    </xf>
    <xf numFmtId="0" fontId="0" fillId="34" borderId="28" xfId="0" applyFont="1" applyFill="1" applyBorder="1" applyAlignment="1">
      <alignment horizontal="center" vertical="center"/>
    </xf>
    <xf numFmtId="0" fontId="0" fillId="34" borderId="30" xfId="0" applyFont="1" applyFill="1" applyBorder="1" applyAlignment="1">
      <alignment horizontal="center" vertical="center"/>
    </xf>
    <xf numFmtId="0" fontId="0" fillId="35" borderId="28" xfId="0" applyFont="1" applyFill="1" applyBorder="1" applyAlignment="1">
      <alignment horizontal="center" vertical="center"/>
    </xf>
    <xf numFmtId="0" fontId="0" fillId="35" borderId="29" xfId="0" applyFont="1" applyFill="1" applyBorder="1" applyAlignment="1">
      <alignment horizontal="center" vertical="center"/>
    </xf>
    <xf numFmtId="0" fontId="0" fillId="35" borderId="30" xfId="0" applyFont="1" applyFill="1" applyBorder="1" applyAlignment="1">
      <alignment horizontal="center" vertical="center"/>
    </xf>
    <xf numFmtId="0" fontId="0" fillId="37" borderId="0" xfId="0" applyFill="1" applyBorder="1" applyAlignment="1">
      <alignment horizontal="center" wrapText="1"/>
    </xf>
    <xf numFmtId="0" fontId="2" fillId="36" borderId="20" xfId="0" applyFont="1" applyFill="1" applyBorder="1" applyAlignment="1">
      <alignment horizontal="center" vertical="center"/>
    </xf>
    <xf numFmtId="0" fontId="2" fillId="36" borderId="24" xfId="0" applyFont="1" applyFill="1" applyBorder="1" applyAlignment="1">
      <alignment horizontal="center" vertical="center"/>
    </xf>
    <xf numFmtId="0" fontId="0" fillId="35" borderId="20" xfId="0" applyFont="1" applyFill="1" applyBorder="1" applyAlignment="1">
      <alignment horizontal="center" vertical="center"/>
    </xf>
    <xf numFmtId="0" fontId="0" fillId="34" borderId="28" xfId="0" applyFont="1" applyFill="1" applyBorder="1" applyAlignment="1">
      <alignment horizontal="center" vertical="center" wrapText="1"/>
    </xf>
    <xf numFmtId="0" fontId="0" fillId="34" borderId="29" xfId="0" applyFont="1" applyFill="1" applyBorder="1" applyAlignment="1">
      <alignment horizontal="center" vertical="center" wrapText="1"/>
    </xf>
    <xf numFmtId="0" fontId="0" fillId="34" borderId="34" xfId="0" applyFill="1" applyBorder="1" applyAlignment="1">
      <alignment horizontal="center" vertical="center" wrapText="1"/>
    </xf>
    <xf numFmtId="0" fontId="0" fillId="34" borderId="31" xfId="0" applyFill="1" applyBorder="1" applyAlignment="1">
      <alignment horizontal="center" vertical="center" wrapText="1"/>
    </xf>
    <xf numFmtId="0" fontId="0" fillId="34" borderId="38" xfId="0" applyFill="1" applyBorder="1" applyAlignment="1">
      <alignment horizontal="center" vertical="center" wrapText="1"/>
    </xf>
    <xf numFmtId="0" fontId="0" fillId="34" borderId="39" xfId="0" applyFill="1" applyBorder="1" applyAlignment="1">
      <alignment horizontal="center" vertical="center" wrapText="1"/>
    </xf>
    <xf numFmtId="0" fontId="0" fillId="35" borderId="19" xfId="0" applyFont="1" applyFill="1" applyBorder="1" applyAlignment="1">
      <alignment horizontal="center" vertical="center"/>
    </xf>
    <xf numFmtId="0" fontId="0" fillId="34" borderId="41" xfId="0" applyFont="1" applyFill="1" applyBorder="1" applyAlignment="1">
      <alignment horizontal="center" vertical="center" wrapText="1"/>
    </xf>
    <xf numFmtId="0" fontId="0" fillId="34" borderId="40" xfId="0" applyFill="1" applyBorder="1" applyAlignment="1">
      <alignment horizontal="center" vertical="center" wrapText="1"/>
    </xf>
    <xf numFmtId="0" fontId="2" fillId="35" borderId="44" xfId="0" applyFont="1" applyFill="1" applyBorder="1" applyAlignment="1">
      <alignment horizontal="center" vertical="center"/>
    </xf>
    <xf numFmtId="0" fontId="2" fillId="35" borderId="45" xfId="0" applyFont="1" applyFill="1" applyBorder="1" applyAlignment="1">
      <alignment horizontal="center" vertical="center"/>
    </xf>
    <xf numFmtId="0" fontId="2" fillId="35" borderId="46" xfId="0" applyFont="1" applyFill="1" applyBorder="1" applyAlignment="1">
      <alignment horizontal="center" vertical="center"/>
    </xf>
    <xf numFmtId="0" fontId="0" fillId="33" borderId="26" xfId="0" applyFill="1" applyBorder="1" applyAlignment="1">
      <alignment horizontal="center"/>
    </xf>
    <xf numFmtId="0" fontId="0" fillId="33" borderId="1" xfId="0" applyFill="1" applyBorder="1" applyAlignment="1">
      <alignment horizontal="center"/>
    </xf>
    <xf numFmtId="0" fontId="0" fillId="33" borderId="17" xfId="0" applyFill="1" applyBorder="1" applyAlignment="1">
      <alignment horizontal="center"/>
    </xf>
    <xf numFmtId="0" fontId="0" fillId="35" borderId="26" xfId="0" applyFill="1" applyBorder="1" applyAlignment="1">
      <alignment horizontal="center"/>
    </xf>
    <xf numFmtId="0" fontId="0" fillId="35" borderId="1" xfId="0" applyFill="1" applyBorder="1" applyAlignment="1">
      <alignment horizontal="center"/>
    </xf>
    <xf numFmtId="0" fontId="0" fillId="35" borderId="17" xfId="0" applyFill="1" applyBorder="1" applyAlignment="1">
      <alignment horizontal="center"/>
    </xf>
  </cellXfs>
  <cellStyles count="50">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1" builtinId="3"/>
    <cellStyle name="Comma 2" xfId="45"/>
    <cellStyle name="Comma 2 2" xfId="47"/>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Input" xfId="9" builtinId="20" customBuiltin="1"/>
    <cellStyle name="Komma 2" xfId="42"/>
    <cellStyle name="Linked Cell" xfId="12" builtinId="24" customBuiltin="1"/>
    <cellStyle name="Neutral" xfId="8" builtinId="28" customBuiltin="1"/>
    <cellStyle name="Normal" xfId="0" builtinId="0"/>
    <cellStyle name="Normal 2" xfId="41"/>
    <cellStyle name="Normal 2 2" xfId="46"/>
    <cellStyle name="Note 2" xfId="44"/>
    <cellStyle name="Output" xfId="10" builtinId="21" customBuiltin="1"/>
    <cellStyle name="Percent" xfId="48" builtinId="5"/>
    <cellStyle name="Tittel 2" xfId="43"/>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xdr:col>
      <xdr:colOff>425823</xdr:colOff>
      <xdr:row>24</xdr:row>
      <xdr:rowOff>112059</xdr:rowOff>
    </xdr:from>
    <xdr:ext cx="8505266" cy="2667000"/>
    <xdr:sp macro="" textlink="">
      <xdr:nvSpPr>
        <xdr:cNvPr id="2" name="TextBox 1"/>
        <xdr:cNvSpPr txBox="1"/>
      </xdr:nvSpPr>
      <xdr:spPr>
        <a:xfrm>
          <a:off x="1625973" y="4807884"/>
          <a:ext cx="8505266" cy="26670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200" baseline="0"/>
            <a:t>Presiseringer:</a:t>
          </a:r>
          <a:endParaRPr lang="nb-NO" sz="1200"/>
        </a:p>
        <a:p>
          <a:endParaRPr lang="nb-NO" sz="1100"/>
        </a:p>
        <a:p>
          <a:r>
            <a:rPr lang="nb-NO" sz="1100" baseline="0"/>
            <a:t>1) Beregningen av timesats er ufravikelig  og skal gjøres of alle ansatte som refunderes av prosjektet</a:t>
          </a:r>
        </a:p>
        <a:p>
          <a:endParaRPr lang="nb-NO" sz="1100" baseline="0"/>
        </a:p>
        <a:p>
          <a:r>
            <a:rPr lang="nb-NO" sz="1100" baseline="0"/>
            <a:t>2) Dersom antall timer i timelistene overstiger de produktive timene tas de ikke med i refusjonskravet til EU</a:t>
          </a:r>
        </a:p>
        <a:p>
          <a:endParaRPr lang="nb-NO" sz="1100" baseline="0"/>
        </a:p>
        <a:p>
          <a:r>
            <a:rPr lang="nb-NO" sz="1100" baseline="0"/>
            <a:t>3) "Refusjonskrav fra EU" kan aldri være høyere enn "Personalkostnader SAP fratrukket Nav- refusjoner"</a:t>
          </a:r>
        </a:p>
        <a:p>
          <a:endParaRPr lang="nb-NO" sz="1100" baseline="0"/>
        </a:p>
        <a:p>
          <a:r>
            <a:rPr lang="nb-NO" sz="1100" baseline="0"/>
            <a:t>4) </a:t>
          </a:r>
          <a:r>
            <a:rPr lang="nb-NO" sz="1100">
              <a:solidFill>
                <a:schemeClr val="tx1"/>
              </a:solidFill>
              <a:effectLst/>
              <a:latin typeface="+mn-lt"/>
              <a:ea typeface="+mn-ea"/>
              <a:cs typeface="+mn-cs"/>
            </a:rPr>
            <a:t>Ved fødselspermisjon reduseres den produktive timer tilsvarende fraværsprosenten. </a:t>
          </a:r>
        </a:p>
        <a:p>
          <a:r>
            <a:rPr lang="nb-NO" sz="1100">
              <a:solidFill>
                <a:schemeClr val="tx1"/>
              </a:solidFill>
              <a:effectLst/>
              <a:latin typeface="+mn-lt"/>
              <a:ea typeface="+mn-ea"/>
              <a:cs typeface="+mn-cs"/>
            </a:rPr>
            <a:t>Ved annet fravær (feks</a:t>
          </a:r>
          <a:r>
            <a:rPr lang="nb-NO" sz="1100" baseline="0">
              <a:solidFill>
                <a:schemeClr val="tx1"/>
              </a:solidFill>
              <a:effectLst/>
              <a:latin typeface="+mn-lt"/>
              <a:ea typeface="+mn-ea"/>
              <a:cs typeface="+mn-cs"/>
            </a:rPr>
            <a:t> sykdom) </a:t>
          </a:r>
          <a:r>
            <a:rPr lang="nb-NO" sz="1100">
              <a:solidFill>
                <a:schemeClr val="tx1"/>
              </a:solidFill>
              <a:effectLst/>
              <a:latin typeface="+mn-lt"/>
              <a:ea typeface="+mn-ea"/>
              <a:cs typeface="+mn-cs"/>
            </a:rPr>
            <a:t>skal 1720 fremdeles brukes. </a:t>
          </a:r>
          <a:endParaRPr lang="nb-NO">
            <a:effectLst/>
          </a:endParaRPr>
        </a:p>
        <a:p>
          <a:endParaRPr lang="nb-NO" sz="1100" baseline="0"/>
        </a:p>
        <a:p>
          <a:r>
            <a:rPr lang="nb-NO" sz="1100" baseline="0"/>
            <a:t>5) Alle rapporteringsperioder må minimum ha to linjer for timesatser</a:t>
          </a:r>
        </a:p>
        <a:p>
          <a:endParaRPr lang="nb-NO" sz="1100" baseline="0"/>
        </a:p>
        <a:p>
          <a:r>
            <a:rPr lang="nb-NO" sz="1100" baseline="0"/>
            <a:t>  Ved spørsmål ta kontakt med : terje.bakke@admin.uio.no/eu-office@admin.uio.no</a:t>
          </a:r>
        </a:p>
        <a:p>
          <a:endParaRPr lang="nb-NO" sz="1100" baseline="0"/>
        </a:p>
        <a:p>
          <a:endParaRPr lang="nb-NO" sz="1100" baseline="0"/>
        </a:p>
        <a:p>
          <a:endParaRPr lang="nb-NO" sz="1100" baseline="0"/>
        </a:p>
        <a:p>
          <a:endParaRPr lang="nb-NO" sz="1100"/>
        </a:p>
        <a:p>
          <a:endParaRPr lang="nb-NO"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425823</xdr:colOff>
      <xdr:row>20</xdr:row>
      <xdr:rowOff>112059</xdr:rowOff>
    </xdr:from>
    <xdr:ext cx="8482853" cy="2005853"/>
    <xdr:sp macro="" textlink="">
      <xdr:nvSpPr>
        <xdr:cNvPr id="2" name="TextBox 1"/>
        <xdr:cNvSpPr txBox="1"/>
      </xdr:nvSpPr>
      <xdr:spPr>
        <a:xfrm>
          <a:off x="1142999" y="4796118"/>
          <a:ext cx="8482853" cy="200585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200" baseline="0"/>
            <a:t>Presiseringer:</a:t>
          </a:r>
          <a:endParaRPr lang="nb-NO" sz="1200"/>
        </a:p>
        <a:p>
          <a:endParaRPr lang="nb-NO" sz="1100"/>
        </a:p>
        <a:p>
          <a:r>
            <a:rPr lang="nb-NO" sz="1100" baseline="0"/>
            <a:t>1) Beregningen av timesats er ufravikelig  og uavhengig av arbeidtid/fravær. </a:t>
          </a:r>
        </a:p>
        <a:p>
          <a:endParaRPr lang="nb-NO" sz="1100" baseline="0"/>
        </a:p>
        <a:p>
          <a:r>
            <a:rPr lang="nb-NO" sz="1100" baseline="0"/>
            <a:t>2) Dersom antall timer i timelsietene som overstiger de produktive tiemene tas de ikke med i refusjonskravet til EU</a:t>
          </a:r>
        </a:p>
        <a:p>
          <a:endParaRPr lang="nb-NO" sz="1100" baseline="0"/>
        </a:p>
        <a:p>
          <a:r>
            <a:rPr lang="nb-NO" sz="1100" baseline="0"/>
            <a:t>3) "Refusjonskrav EU" kan aldri være høyere enn "Personalkostnader SAP"</a:t>
          </a:r>
        </a:p>
        <a:p>
          <a:endParaRPr lang="nb-NO" sz="1100" baseline="0"/>
        </a:p>
        <a:p>
          <a:r>
            <a:rPr lang="nb-NO" sz="1100" baseline="0"/>
            <a:t>Ved spørsmål ta kontakt med : terje.bakke@admin.uio.no/eu-office@admin.uio.no</a:t>
          </a:r>
        </a:p>
        <a:p>
          <a:endParaRPr lang="nb-NO" sz="1100" baseline="0"/>
        </a:p>
        <a:p>
          <a:endParaRPr lang="nb-NO" sz="1100" baseline="0"/>
        </a:p>
        <a:p>
          <a:endParaRPr lang="nb-NO" sz="1100" baseline="0"/>
        </a:p>
        <a:p>
          <a:endParaRPr lang="nb-NO" sz="1100"/>
        </a:p>
        <a:p>
          <a:endParaRPr lang="nb-NO"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425823</xdr:colOff>
      <xdr:row>20</xdr:row>
      <xdr:rowOff>112059</xdr:rowOff>
    </xdr:from>
    <xdr:ext cx="8482853" cy="2162735"/>
    <xdr:sp macro="" textlink="">
      <xdr:nvSpPr>
        <xdr:cNvPr id="2" name="TextBox 1"/>
        <xdr:cNvSpPr txBox="1"/>
      </xdr:nvSpPr>
      <xdr:spPr>
        <a:xfrm>
          <a:off x="1142999" y="4437530"/>
          <a:ext cx="8482853" cy="2162735"/>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200" baseline="0"/>
            <a:t>Presiseringer:</a:t>
          </a:r>
          <a:endParaRPr lang="nb-NO" sz="1200"/>
        </a:p>
        <a:p>
          <a:endParaRPr lang="nb-NO" sz="1100"/>
        </a:p>
        <a:p>
          <a:r>
            <a:rPr lang="nb-NO" sz="1100" baseline="0"/>
            <a:t>1) Beregningen av timesats er ufravikelig  og uavhengig av arbeidtid/fravær. </a:t>
          </a:r>
        </a:p>
        <a:p>
          <a:endParaRPr lang="nb-NO" sz="1100" baseline="0"/>
        </a:p>
        <a:p>
          <a:r>
            <a:rPr lang="nb-NO" sz="1100" baseline="0"/>
            <a:t>2) Dersom antall timer i timelistene overstiger de produktive timene tas de ikke med i refusjonskravet til EU'</a:t>
          </a:r>
        </a:p>
        <a:p>
          <a:endParaRPr lang="nb-NO" sz="1100" baseline="0"/>
        </a:p>
        <a:p>
          <a:r>
            <a:rPr lang="nb-NO" sz="1100" baseline="0"/>
            <a:t>3) "Refusjonskrav EU" kan aldri være høyere enn "Personalkostnader SAP fratrukket Nav- refusjoner"</a:t>
          </a:r>
        </a:p>
        <a:p>
          <a:endParaRPr lang="nb-NO" sz="1100" baseline="0"/>
        </a:p>
        <a:p>
          <a:r>
            <a:rPr lang="nb-NO" sz="1100" baseline="0"/>
            <a:t>4) De fleste rapporteringsperioder må ha 2 linjer for timesatser</a:t>
          </a:r>
        </a:p>
        <a:p>
          <a:endParaRPr lang="nb-NO" sz="1100" baseline="0"/>
        </a:p>
        <a:p>
          <a:r>
            <a:rPr lang="nb-NO" sz="1100" baseline="0"/>
            <a:t>  Ved spørsmål ta kontakt med : terje.bakke@admin.uio.no/eu-office@admin.uio.no</a:t>
          </a:r>
        </a:p>
        <a:p>
          <a:endParaRPr lang="nb-NO" sz="1100" baseline="0"/>
        </a:p>
        <a:p>
          <a:endParaRPr lang="nb-NO" sz="1100" baseline="0"/>
        </a:p>
        <a:p>
          <a:endParaRPr lang="nb-NO" sz="1100" baseline="0"/>
        </a:p>
        <a:p>
          <a:endParaRPr lang="nb-NO" sz="1100"/>
        </a:p>
        <a:p>
          <a:endParaRPr lang="nb-NO"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425823</xdr:colOff>
      <xdr:row>22</xdr:row>
      <xdr:rowOff>112059</xdr:rowOff>
    </xdr:from>
    <xdr:ext cx="8505266" cy="2667000"/>
    <xdr:sp macro="" textlink="">
      <xdr:nvSpPr>
        <xdr:cNvPr id="2" name="TextBox 1"/>
        <xdr:cNvSpPr txBox="1"/>
      </xdr:nvSpPr>
      <xdr:spPr>
        <a:xfrm>
          <a:off x="1624852" y="4829735"/>
          <a:ext cx="8505266" cy="26670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200" baseline="0"/>
            <a:t>Presiseringer:</a:t>
          </a:r>
          <a:endParaRPr lang="nb-NO" sz="1200"/>
        </a:p>
        <a:p>
          <a:endParaRPr lang="nb-NO" sz="1100"/>
        </a:p>
        <a:p>
          <a:r>
            <a:rPr lang="nb-NO" sz="1100" baseline="0"/>
            <a:t>1) Beregningen av timesats er ufravikelig  of skal gjøres of alle ansatte som refunderes av prosjektet</a:t>
          </a:r>
        </a:p>
        <a:p>
          <a:endParaRPr lang="nb-NO" sz="1100" baseline="0"/>
        </a:p>
        <a:p>
          <a:r>
            <a:rPr lang="nb-NO" sz="1100" baseline="0"/>
            <a:t>2) Dersom antall timer i timelistene overstiger de produktive timene tas de ikke med i refusjonskravet til EU</a:t>
          </a:r>
        </a:p>
        <a:p>
          <a:endParaRPr lang="nb-NO" sz="1100" baseline="0"/>
        </a:p>
        <a:p>
          <a:r>
            <a:rPr lang="nb-NO" sz="1100" baseline="0"/>
            <a:t>3) "Refusjonskrav fra EU" kan aldri være høyere enn "Personalkostnader SAP fratrukket Nav- refusjoner"</a:t>
          </a:r>
        </a:p>
        <a:p>
          <a:endParaRPr lang="nb-NO" sz="1100" baseline="0"/>
        </a:p>
        <a:p>
          <a:r>
            <a:rPr lang="nb-NO" sz="1100" baseline="0"/>
            <a:t>4) </a:t>
          </a:r>
          <a:r>
            <a:rPr lang="nb-NO" sz="1100">
              <a:solidFill>
                <a:schemeClr val="tx1"/>
              </a:solidFill>
              <a:effectLst/>
              <a:latin typeface="+mn-lt"/>
              <a:ea typeface="+mn-ea"/>
              <a:cs typeface="+mn-cs"/>
            </a:rPr>
            <a:t>Ved langtids sykefravær og fødselspermisjon reduseres den produktive timer tilsvarende fraværsprosenten. </a:t>
          </a:r>
        </a:p>
        <a:p>
          <a:r>
            <a:rPr lang="nb-NO" sz="1100">
              <a:solidFill>
                <a:schemeClr val="tx1"/>
              </a:solidFill>
              <a:effectLst/>
              <a:latin typeface="+mn-lt"/>
              <a:ea typeface="+mn-ea"/>
              <a:cs typeface="+mn-cs"/>
            </a:rPr>
            <a:t>Ved kortere fravær (feks</a:t>
          </a:r>
          <a:r>
            <a:rPr lang="nb-NO" sz="1100" baseline="0">
              <a:solidFill>
                <a:schemeClr val="tx1"/>
              </a:solidFill>
              <a:effectLst/>
              <a:latin typeface="+mn-lt"/>
              <a:ea typeface="+mn-ea"/>
              <a:cs typeface="+mn-cs"/>
            </a:rPr>
            <a:t> egenenmelding) </a:t>
          </a:r>
          <a:r>
            <a:rPr lang="nb-NO" sz="1100">
              <a:solidFill>
                <a:schemeClr val="tx1"/>
              </a:solidFill>
              <a:effectLst/>
              <a:latin typeface="+mn-lt"/>
              <a:ea typeface="+mn-ea"/>
              <a:cs typeface="+mn-cs"/>
            </a:rPr>
            <a:t>skal 1720 fremdeles brukes. </a:t>
          </a:r>
          <a:endParaRPr lang="nb-NO">
            <a:effectLst/>
          </a:endParaRPr>
        </a:p>
        <a:p>
          <a:endParaRPr lang="nb-NO" sz="1100" baseline="0"/>
        </a:p>
        <a:p>
          <a:r>
            <a:rPr lang="nb-NO" sz="1100" baseline="0"/>
            <a:t>5) Alle rapporteringsperioder må minimum ha to linjer for timesatser</a:t>
          </a:r>
        </a:p>
        <a:p>
          <a:endParaRPr lang="nb-NO" sz="1100" baseline="0"/>
        </a:p>
        <a:p>
          <a:r>
            <a:rPr lang="nb-NO" sz="1100" baseline="0"/>
            <a:t>  Ved spørsmål ta kontakt med : terje.bakke@admin.uio.no/eu-office@admin.uio.no</a:t>
          </a:r>
        </a:p>
        <a:p>
          <a:endParaRPr lang="nb-NO" sz="1100" baseline="0"/>
        </a:p>
        <a:p>
          <a:endParaRPr lang="nb-NO" sz="1100" baseline="0"/>
        </a:p>
        <a:p>
          <a:endParaRPr lang="nb-NO" sz="1100" baseline="0"/>
        </a:p>
        <a:p>
          <a:endParaRPr lang="nb-NO" sz="1100"/>
        </a:p>
        <a:p>
          <a:endParaRPr lang="nb-NO"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9526</xdr:colOff>
      <xdr:row>2</xdr:row>
      <xdr:rowOff>152401</xdr:rowOff>
    </xdr:from>
    <xdr:to>
      <xdr:col>7</xdr:col>
      <xdr:colOff>400051</xdr:colOff>
      <xdr:row>6</xdr:row>
      <xdr:rowOff>171451</xdr:rowOff>
    </xdr:to>
    <xdr:sp macro="" textlink="">
      <xdr:nvSpPr>
        <xdr:cNvPr id="2" name="TekstSylinder 1"/>
        <xdr:cNvSpPr txBox="1"/>
      </xdr:nvSpPr>
      <xdr:spPr>
        <a:xfrm>
          <a:off x="9526" y="533401"/>
          <a:ext cx="613410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Ved langtids sykefravær og fødselspermisjon reduseres den produktive tiden tilsvarende fraværsprosenten. Ved kortere fravær (feks</a:t>
          </a:r>
          <a:r>
            <a:rPr lang="nb-NO" sz="1100" b="1" baseline="0"/>
            <a:t> egenenmelding) </a:t>
          </a:r>
          <a:r>
            <a:rPr lang="nb-NO" sz="1100" b="1"/>
            <a:t>skal 1720 fremdeles brukes.</a:t>
          </a:r>
        </a:p>
        <a:p>
          <a:r>
            <a:rPr lang="nb-NO" sz="1100" b="1"/>
            <a:t>Sum</a:t>
          </a:r>
          <a:r>
            <a:rPr lang="nb-NO" sz="1100" b="1" baseline="0"/>
            <a:t> produktiver timer fylles deretter inn i skjemaet for beregning av timepris for korrekt bergning av timesatsen.</a:t>
          </a:r>
          <a:endParaRPr lang="nb-NO"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257175</xdr:colOff>
      <xdr:row>1</xdr:row>
      <xdr:rowOff>104775</xdr:rowOff>
    </xdr:from>
    <xdr:to>
      <xdr:col>21</xdr:col>
      <xdr:colOff>409575</xdr:colOff>
      <xdr:row>81</xdr:row>
      <xdr:rowOff>66675</xdr:rowOff>
    </xdr:to>
    <xdr:sp macro="" textlink="">
      <xdr:nvSpPr>
        <xdr:cNvPr id="5" name="TekstSylinder 4"/>
        <xdr:cNvSpPr txBox="1"/>
      </xdr:nvSpPr>
      <xdr:spPr>
        <a:xfrm>
          <a:off x="257175" y="295275"/>
          <a:ext cx="12954000" cy="15201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1500"/>
            </a:spcAft>
          </a:pPr>
          <a:r>
            <a:rPr lang="nb-NO" sz="1100" b="1" kern="1400" spc="25">
              <a:solidFill>
                <a:srgbClr val="323E4F"/>
              </a:solidFill>
              <a:effectLst/>
              <a:latin typeface="Calibri Light" panose="020F0302020204030204" pitchFamily="34" charset="0"/>
              <a:ea typeface="DengXian Light"/>
              <a:cs typeface="Times New Roman" panose="02020603050405020304" pitchFamily="18" charset="0"/>
            </a:rPr>
            <a:t>Horisont 2020 – UiOs retningslinjer for rapportering av lønnskostnader til EU</a:t>
          </a:r>
          <a:endParaRPr lang="nb-NO" sz="1100" kern="1400" spc="25">
            <a:solidFill>
              <a:srgbClr val="323E4F"/>
            </a:solidFill>
            <a:effectLst/>
            <a:latin typeface="Calibri Light" panose="020F0302020204030204" pitchFamily="34" charset="0"/>
            <a:ea typeface="DengXian Light"/>
            <a:cs typeface="Times New Roman" panose="02020603050405020304" pitchFamily="18" charset="0"/>
          </a:endParaRPr>
        </a:p>
        <a:p>
          <a:pPr>
            <a:lnSpc>
              <a:spcPct val="107000"/>
            </a:lnSpc>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Regelverket i Horisont 2020 krever at Universitetet i Oslo følger en felles institusjonell og enhetlig praksis når det kommer til beregning av refunderbare personalkostnader i EU-prosjekter. </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nb-NO"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H2020 Grant Agreement</a:t>
          </a:r>
          <a:r>
            <a:rPr lang="nb-NO" sz="1100">
              <a:effectLst/>
              <a:latin typeface="Calibri" panose="020F0502020204030204" pitchFamily="34" charset="0"/>
              <a:ea typeface="Calibri" panose="020F0502020204030204" pitchFamily="34" charset="0"/>
              <a:cs typeface="Times New Roman" panose="02020603050405020304" pitchFamily="18" charset="0"/>
            </a:rPr>
            <a:t> har ulike valg for hvordan personalkostnader beregnes.  UiO har derfor behov for å presisere sine retningslinjer for hvordan personalkostnader skal rapporteres til Kommisjonen. Retningslinjene gjelder alle UiOs prosjekter finansiert gjennom Horisont 2020, med unntak av Marie Curie-Skłodowska Actions.</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Dersom man ved tidligere rapportering ikke har fulgt UiOs retningslinjer for beregning av personalkostnader som beskrevet under, vil det bli forventet at det foretas en gjennomgang og avstemming for hele EU-prosjektets levetid ved neste rapportering.</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Bef>
              <a:spcPts val="1200"/>
            </a:spcBef>
            <a:spcAft>
              <a:spcPts val="0"/>
            </a:spcAft>
          </a:pPr>
          <a:r>
            <a:rPr lang="nb-NO" sz="1100" b="1" kern="0">
              <a:solidFill>
                <a:srgbClr val="2E74B5"/>
              </a:solidFill>
              <a:effectLst/>
              <a:latin typeface="Calibri Light" panose="020F0302020204030204" pitchFamily="34" charset="0"/>
              <a:ea typeface="DengXian Light"/>
              <a:cs typeface="Times New Roman" panose="02020603050405020304" pitchFamily="18" charset="0"/>
            </a:rPr>
            <a:t> </a:t>
          </a:r>
        </a:p>
        <a:p>
          <a:pPr>
            <a:lnSpc>
              <a:spcPct val="107000"/>
            </a:lnSpc>
            <a:spcBef>
              <a:spcPts val="1200"/>
            </a:spcBef>
            <a:spcAft>
              <a:spcPts val="0"/>
            </a:spcAft>
          </a:pPr>
          <a:r>
            <a:rPr lang="nb-NO" sz="1100" b="1" kern="0">
              <a:solidFill>
                <a:srgbClr val="2E74B5"/>
              </a:solidFill>
              <a:effectLst/>
              <a:latin typeface="Calibri Light" panose="020F0302020204030204" pitchFamily="34" charset="0"/>
              <a:ea typeface="DengXian Light"/>
              <a:cs typeface="Times New Roman" panose="02020603050405020304" pitchFamily="18" charset="0"/>
            </a:rPr>
            <a:t>Hovedprinsipp</a:t>
          </a:r>
        </a:p>
        <a:p>
          <a:pPr>
            <a:lnSpc>
              <a:spcPct val="107000"/>
            </a:lnSpc>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a:t>
          </a:r>
        </a:p>
        <a:p>
          <a:pPr marL="342900" lvl="0" indent="-342900">
            <a:lnSpc>
              <a:spcPct val="107000"/>
            </a:lnSpc>
            <a:spcAft>
              <a:spcPts val="0"/>
            </a:spcAft>
            <a:buFont typeface="Symbol" panose="05050102010706020507" pitchFamily="18" charset="2"/>
            <a:buChar char=""/>
          </a:pPr>
          <a:r>
            <a:rPr lang="nb-NO" sz="1100">
              <a:effectLst/>
              <a:latin typeface="Calibri" panose="020F0502020204030204" pitchFamily="34" charset="0"/>
              <a:ea typeface="Calibri" panose="020F0502020204030204" pitchFamily="34" charset="0"/>
              <a:cs typeface="Times New Roman" panose="02020603050405020304" pitchFamily="18" charset="0"/>
            </a:rPr>
            <a:t>Personalkostnadene skal være nødvendig for å gjennomføre prosjektet og kunne knyttes direkte til prosjektet</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Symbol" panose="05050102010706020507" pitchFamily="18" charset="2"/>
            <a:buChar char=""/>
          </a:pPr>
          <a:r>
            <a:rPr lang="nb-NO" sz="1100">
              <a:effectLst/>
              <a:latin typeface="Calibri" panose="020F0502020204030204" pitchFamily="34" charset="0"/>
              <a:ea typeface="Calibri" panose="020F0502020204030204" pitchFamily="34" charset="0"/>
              <a:cs typeface="Times New Roman" panose="02020603050405020304" pitchFamily="18" charset="0"/>
            </a:rPr>
            <a:t>Alle personalkostnadene som rapporteres i Financial Statement skal være basert på beregnet timepris – også for fulltidsansatte som ikke fører timelister</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r>
            <a:rPr lang="nb-NO" sz="1100">
              <a:effectLst/>
              <a:latin typeface="Calibri" panose="020F0502020204030204" pitchFamily="34" charset="0"/>
              <a:ea typeface="Calibri" panose="020F0502020204030204" pitchFamily="34" charset="0"/>
              <a:cs typeface="Times New Roman" panose="02020603050405020304" pitchFamily="18" charset="0"/>
            </a:rPr>
            <a:t>Beregning av timepris skal ta utgangspunkt i siste avsluttede regnskapsår</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Ved UiO skal timeprisen beregnes ved å dele totale årlige personalkostnader (lønn inkl. sosiale kostnader) fra siste avsluttede regnskapsår på antall årlige produktive timer (1720 timer):</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marL="1348740" indent="-895350">
            <a:spcAft>
              <a:spcPts val="0"/>
            </a:spcAft>
          </a:pPr>
          <a:r>
            <a:rPr lang="nb-NO" sz="1100" b="1">
              <a:solidFill>
                <a:srgbClr val="C00000"/>
              </a:solidFill>
              <a:effectLst/>
              <a:latin typeface="Calibri" panose="020F0502020204030204" pitchFamily="34" charset="0"/>
              <a:ea typeface="DengXian"/>
              <a:cs typeface="Calibri" panose="020F0502020204030204" pitchFamily="34" charset="0"/>
            </a:rPr>
            <a:t>	Totale årlige personalkostnader (lønn inkl. sosiale kostnader) fra sist avsluttede regnskapsår </a:t>
          </a:r>
          <a:r>
            <a:rPr lang="nb-NO" sz="1100" b="1" u="sng">
              <a:solidFill>
                <a:srgbClr val="C00000"/>
              </a:solidFill>
              <a:effectLst/>
              <a:latin typeface="Calibri" panose="020F0502020204030204" pitchFamily="34" charset="0"/>
              <a:ea typeface="DengXian"/>
              <a:cs typeface="Calibri" panose="020F0502020204030204" pitchFamily="34" charset="0"/>
            </a:rPr>
            <a:t> </a:t>
          </a:r>
          <a:endParaRPr lang="nb-NO" sz="1050">
            <a:solidFill>
              <a:srgbClr val="000000"/>
            </a:solidFill>
            <a:effectLst/>
            <a:latin typeface="Calibri" panose="020F0502020204030204" pitchFamily="34" charset="0"/>
            <a:ea typeface="DengXian"/>
            <a:cs typeface="Calibri" panose="020F0502020204030204" pitchFamily="34" charset="0"/>
          </a:endParaRPr>
        </a:p>
        <a:p>
          <a:pPr>
            <a:spcAft>
              <a:spcPts val="0"/>
            </a:spcAft>
          </a:pPr>
          <a:r>
            <a:rPr lang="nb-NO" sz="1100" b="1">
              <a:solidFill>
                <a:srgbClr val="C00000"/>
              </a:solidFill>
              <a:effectLst/>
              <a:latin typeface="Calibri" panose="020F0502020204030204" pitchFamily="34" charset="0"/>
              <a:ea typeface="DengXian"/>
              <a:cs typeface="Calibri" panose="020F0502020204030204" pitchFamily="34" charset="0"/>
            </a:rPr>
            <a:t> </a:t>
          </a:r>
          <a:endParaRPr lang="nb-NO" sz="1050">
            <a:solidFill>
              <a:srgbClr val="000000"/>
            </a:solidFill>
            <a:effectLst/>
            <a:latin typeface="Calibri" panose="020F0502020204030204" pitchFamily="34" charset="0"/>
            <a:ea typeface="DengXian"/>
            <a:cs typeface="Calibri" panose="020F0502020204030204" pitchFamily="34" charset="0"/>
          </a:endParaRPr>
        </a:p>
        <a:p>
          <a:pPr>
            <a:spcAft>
              <a:spcPts val="0"/>
            </a:spcAft>
          </a:pPr>
          <a:r>
            <a:rPr lang="nb-NO" sz="1100" b="1">
              <a:solidFill>
                <a:srgbClr val="C00000"/>
              </a:solidFill>
              <a:effectLst/>
              <a:latin typeface="Calibri" panose="020F0502020204030204" pitchFamily="34" charset="0"/>
              <a:ea typeface="DengXian"/>
              <a:cs typeface="Calibri" panose="020F0502020204030204" pitchFamily="34" charset="0"/>
            </a:rPr>
            <a:t>Timepris = </a:t>
          </a:r>
          <a:endParaRPr lang="nb-NO" sz="1050">
            <a:solidFill>
              <a:srgbClr val="000000"/>
            </a:solidFill>
            <a:effectLst/>
            <a:latin typeface="Calibri" panose="020F0502020204030204" pitchFamily="34" charset="0"/>
            <a:ea typeface="DengXian"/>
            <a:cs typeface="Calibri" panose="020F0502020204030204" pitchFamily="34" charset="0"/>
          </a:endParaRPr>
        </a:p>
        <a:p>
          <a:pPr marL="1344930" indent="3810">
            <a:spcAft>
              <a:spcPts val="0"/>
            </a:spcAft>
          </a:pPr>
          <a:r>
            <a:rPr lang="nb-NO" sz="1100" b="1">
              <a:solidFill>
                <a:srgbClr val="C00000"/>
              </a:solidFill>
              <a:effectLst/>
              <a:latin typeface="Calibri" panose="020F0502020204030204" pitchFamily="34" charset="0"/>
              <a:ea typeface="DengXian"/>
              <a:cs typeface="Calibri" panose="020F0502020204030204" pitchFamily="34" charset="0"/>
            </a:rPr>
            <a:t> </a:t>
          </a:r>
          <a:endParaRPr lang="nb-NO" sz="1050">
            <a:solidFill>
              <a:srgbClr val="000000"/>
            </a:solidFill>
            <a:effectLst/>
            <a:latin typeface="Calibri" panose="020F0502020204030204" pitchFamily="34" charset="0"/>
            <a:ea typeface="DengXian"/>
            <a:cs typeface="Calibri" panose="020F0502020204030204" pitchFamily="34" charset="0"/>
          </a:endParaRPr>
        </a:p>
        <a:p>
          <a:pPr marL="1344930" indent="3810">
            <a:spcAft>
              <a:spcPts val="0"/>
            </a:spcAft>
          </a:pPr>
          <a:r>
            <a:rPr lang="nb-NO" sz="1100" b="1">
              <a:solidFill>
                <a:srgbClr val="C00000"/>
              </a:solidFill>
              <a:effectLst/>
              <a:latin typeface="Calibri" panose="020F0502020204030204" pitchFamily="34" charset="0"/>
              <a:ea typeface="DengXian"/>
              <a:cs typeface="Calibri" panose="020F0502020204030204" pitchFamily="34" charset="0"/>
            </a:rPr>
            <a:t>Antall årlige produktive timer (1720 timer)</a:t>
          </a:r>
          <a:endParaRPr lang="nb-NO" sz="1050">
            <a:solidFill>
              <a:srgbClr val="000000"/>
            </a:solidFill>
            <a:effectLst/>
            <a:latin typeface="Calibri" panose="020F0502020204030204" pitchFamily="34" charset="0"/>
            <a:ea typeface="DengXian"/>
            <a:cs typeface="Calibri" panose="020F0502020204030204" pitchFamily="34" charset="0"/>
          </a:endParaRPr>
        </a:p>
        <a:p>
          <a:pPr>
            <a:spcAft>
              <a:spcPts val="0"/>
            </a:spcAft>
          </a:pPr>
          <a:r>
            <a:rPr lang="nb-NO" sz="1100">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 </a:t>
          </a:r>
          <a:endParaRPr lang="nb-NO" sz="1100">
            <a:effectLst/>
            <a:latin typeface="Calibri" panose="020F0502020204030204" pitchFamily="34" charset="0"/>
            <a:ea typeface="Calibri" panose="020F0502020204030204" pitchFamily="34" charset="0"/>
            <a:cs typeface="Times New Roman" panose="02020603050405020304" pitchFamily="18" charset="0"/>
          </a:endParaRPr>
        </a:p>
        <a:p>
          <a:pPr>
            <a:spcAft>
              <a:spcPts val="0"/>
            </a:spcAft>
          </a:pPr>
          <a:r>
            <a:rPr lang="nb-NO" sz="1100">
              <a:effectLst/>
              <a:latin typeface="Calibri" panose="020F0502020204030204" pitchFamily="34" charset="0"/>
              <a:ea typeface="Calibri" panose="020F0502020204030204" pitchFamily="34" charset="0"/>
              <a:cs typeface="Times New Roman" panose="02020603050405020304" pitchFamily="18" charset="0"/>
            </a:rPr>
            <a:t> </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a:spcAft>
              <a:spcPts val="0"/>
            </a:spcAft>
          </a:pPr>
          <a:r>
            <a:rPr lang="nb-NO" sz="1100">
              <a:effectLst/>
              <a:latin typeface="Calibri" panose="020F0502020204030204" pitchFamily="34" charset="0"/>
              <a:ea typeface="Calibri" panose="020F0502020204030204" pitchFamily="34" charset="0"/>
              <a:cs typeface="Times New Roman" panose="02020603050405020304" pitchFamily="18" charset="0"/>
            </a:rPr>
            <a:t>For å finne de refunderbare personalkostnader skal beregnet timepris ganges med antall timer ført i godkjente timelister.</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a:spcAft>
              <a:spcPts val="0"/>
            </a:spcAft>
          </a:pPr>
          <a:r>
            <a:rPr lang="nb-NO" sz="1100" b="1">
              <a:solidFill>
                <a:srgbClr val="000000"/>
              </a:solidFill>
              <a:effectLst/>
              <a:latin typeface="Calibri" panose="020F0502020204030204" pitchFamily="34" charset="0"/>
              <a:ea typeface="DengXian"/>
              <a:cs typeface="Calibri" panose="020F0502020204030204" pitchFamily="34" charset="0"/>
            </a:rPr>
            <a:t> </a:t>
          </a:r>
          <a:endParaRPr lang="nb-NO" sz="1050">
            <a:solidFill>
              <a:srgbClr val="000000"/>
            </a:solidFill>
            <a:effectLst/>
            <a:latin typeface="Calibri" panose="020F0502020204030204" pitchFamily="34" charset="0"/>
            <a:ea typeface="DengXian"/>
            <a:cs typeface="Calibri" panose="020F0502020204030204" pitchFamily="34" charset="0"/>
          </a:endParaRPr>
        </a:p>
        <a:p>
          <a:pPr>
            <a:spcAft>
              <a:spcPts val="0"/>
            </a:spcAft>
          </a:pPr>
          <a:r>
            <a:rPr lang="nb-NO" sz="1100" b="1">
              <a:solidFill>
                <a:srgbClr val="C00000"/>
              </a:solidFill>
              <a:effectLst/>
              <a:latin typeface="Calibri" panose="020F0502020204030204" pitchFamily="34" charset="0"/>
              <a:ea typeface="DengXian"/>
              <a:cs typeface="Calibri" panose="020F0502020204030204" pitchFamily="34" charset="0"/>
            </a:rPr>
            <a:t>Refunderbare personalkostnader (slik de rapporteres i Financial Statement) = </a:t>
          </a:r>
          <a:endParaRPr lang="nb-NO" sz="1050">
            <a:solidFill>
              <a:srgbClr val="000000"/>
            </a:solidFill>
            <a:effectLst/>
            <a:latin typeface="Calibri" panose="020F0502020204030204" pitchFamily="34" charset="0"/>
            <a:ea typeface="DengXian"/>
            <a:cs typeface="Calibri" panose="020F0502020204030204" pitchFamily="34" charset="0"/>
          </a:endParaRPr>
        </a:p>
        <a:p>
          <a:pPr>
            <a:spcAft>
              <a:spcPts val="0"/>
            </a:spcAft>
          </a:pPr>
          <a:r>
            <a:rPr lang="nb-NO" sz="1100" b="1">
              <a:solidFill>
                <a:srgbClr val="C00000"/>
              </a:solidFill>
              <a:effectLst/>
              <a:latin typeface="Calibri" panose="020F0502020204030204" pitchFamily="34" charset="0"/>
              <a:ea typeface="DengXian"/>
              <a:cs typeface="Calibri" panose="020F0502020204030204" pitchFamily="34" charset="0"/>
            </a:rPr>
            <a:t> </a:t>
          </a:r>
          <a:endParaRPr lang="nb-NO" sz="1050">
            <a:solidFill>
              <a:srgbClr val="000000"/>
            </a:solidFill>
            <a:effectLst/>
            <a:latin typeface="Calibri" panose="020F0502020204030204" pitchFamily="34" charset="0"/>
            <a:ea typeface="DengXian"/>
            <a:cs typeface="Calibri" panose="020F0502020204030204" pitchFamily="34" charset="0"/>
          </a:endParaRPr>
        </a:p>
        <a:p>
          <a:pPr marL="1348740">
            <a:spcAft>
              <a:spcPts val="0"/>
            </a:spcAft>
          </a:pPr>
          <a:r>
            <a:rPr lang="nb-NO" sz="1100" b="1">
              <a:solidFill>
                <a:srgbClr val="C00000"/>
              </a:solidFill>
              <a:effectLst/>
              <a:latin typeface="Calibri" panose="020F0502020204030204" pitchFamily="34" charset="0"/>
              <a:ea typeface="DengXian"/>
              <a:cs typeface="Calibri" panose="020F0502020204030204" pitchFamily="34" charset="0"/>
            </a:rPr>
            <a:t>Beregnet timepris × timer ført i godkjente timelister</a:t>
          </a:r>
          <a:endParaRPr lang="nb-NO" sz="1050">
            <a:solidFill>
              <a:srgbClr val="000000"/>
            </a:solidFill>
            <a:effectLst/>
            <a:latin typeface="Calibri" panose="020F0502020204030204" pitchFamily="34" charset="0"/>
            <a:ea typeface="DengXian"/>
            <a:cs typeface="Calibri" panose="020F0502020204030204" pitchFamily="34" charset="0"/>
          </a:endParaRPr>
        </a:p>
        <a:p>
          <a:pPr>
            <a:spcAft>
              <a:spcPts val="0"/>
            </a:spcAft>
          </a:pPr>
          <a:r>
            <a:rPr lang="nb-NO" sz="1100" b="1">
              <a:solidFill>
                <a:srgbClr val="C00000"/>
              </a:solidFill>
              <a:effectLst/>
              <a:latin typeface="Calibri" panose="020F0502020204030204" pitchFamily="34" charset="0"/>
              <a:ea typeface="DengXian"/>
              <a:cs typeface="Calibri" panose="020F0502020204030204" pitchFamily="34" charset="0"/>
            </a:rPr>
            <a:t> </a:t>
          </a:r>
          <a:endParaRPr lang="nb-NO" sz="1050">
            <a:solidFill>
              <a:srgbClr val="000000"/>
            </a:solidFill>
            <a:effectLst/>
            <a:latin typeface="Calibri" panose="020F0502020204030204" pitchFamily="34" charset="0"/>
            <a:ea typeface="DengXian"/>
            <a:cs typeface="Calibri" panose="020F0502020204030204" pitchFamily="34" charset="0"/>
          </a:endParaRPr>
        </a:p>
        <a:p>
          <a:pPr>
            <a:spcAft>
              <a:spcPts val="0"/>
            </a:spcAft>
          </a:pPr>
          <a:r>
            <a:rPr lang="nb-NO" sz="1100">
              <a:effectLst/>
              <a:latin typeface="Calibri" panose="020F0502020204030204" pitchFamily="34" charset="0"/>
              <a:ea typeface="Calibri" panose="020F0502020204030204" pitchFamily="34" charset="0"/>
              <a:cs typeface="Times New Roman" panose="02020603050405020304" pitchFamily="18" charset="0"/>
            </a:rPr>
            <a:t> </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a:spcAft>
              <a:spcPts val="0"/>
            </a:spcAft>
          </a:pPr>
          <a:r>
            <a:rPr lang="nb-NO" sz="1100">
              <a:effectLst/>
              <a:latin typeface="Calibri" panose="020F0502020204030204" pitchFamily="34" charset="0"/>
              <a:ea typeface="Calibri" panose="020F0502020204030204" pitchFamily="34" charset="0"/>
              <a:cs typeface="Times New Roman" panose="02020603050405020304" pitchFamily="18" charset="0"/>
            </a:rPr>
            <a:t>For ansatte som ikke fører timelister brukes 1720 årlig produktive timer (eller pro rata) for å beregne refunderbare personalkostnader.</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Bef>
              <a:spcPts val="1200"/>
            </a:spcBef>
            <a:spcAft>
              <a:spcPts val="0"/>
            </a:spcAft>
          </a:pPr>
          <a:r>
            <a:rPr lang="nb-NO" sz="1100" b="1" kern="0">
              <a:solidFill>
                <a:srgbClr val="2E74B5"/>
              </a:solidFill>
              <a:effectLst/>
              <a:latin typeface="Calibri Light" panose="020F0302020204030204" pitchFamily="34" charset="0"/>
              <a:ea typeface="DengXian Light"/>
              <a:cs typeface="Times New Roman" panose="02020603050405020304" pitchFamily="18" charset="0"/>
            </a:rPr>
            <a:t> </a:t>
          </a:r>
        </a:p>
        <a:p>
          <a:pPr>
            <a:lnSpc>
              <a:spcPct val="107000"/>
            </a:lnSpc>
            <a:spcBef>
              <a:spcPts val="1200"/>
            </a:spcBef>
            <a:spcAft>
              <a:spcPts val="0"/>
            </a:spcAft>
          </a:pPr>
          <a:r>
            <a:rPr lang="nb-NO" sz="1100" b="1" kern="0">
              <a:solidFill>
                <a:srgbClr val="2E74B5"/>
              </a:solidFill>
              <a:effectLst/>
              <a:latin typeface="Calibri Light" panose="020F0302020204030204" pitchFamily="34" charset="0"/>
              <a:ea typeface="DengXian Light"/>
              <a:cs typeface="Times New Roman" panose="02020603050405020304" pitchFamily="18" charset="0"/>
            </a:rPr>
            <a:t>Presiseringer</a:t>
          </a:r>
        </a:p>
        <a:p>
          <a:pPr>
            <a:lnSpc>
              <a:spcPct val="107000"/>
            </a:lnSpc>
            <a:spcBef>
              <a:spcPts val="200"/>
            </a:spcBef>
            <a:spcAft>
              <a:spcPts val="0"/>
            </a:spcAft>
          </a:pPr>
          <a:r>
            <a:rPr lang="nb-NO" sz="1100" b="1" i="1">
              <a:solidFill>
                <a:srgbClr val="2E74B5"/>
              </a:solidFill>
              <a:effectLst/>
              <a:latin typeface="Calibri Light" panose="020F0302020204030204" pitchFamily="34" charset="0"/>
              <a:ea typeface="DengXian Light"/>
              <a:cs typeface="Times New Roman" panose="02020603050405020304" pitchFamily="18" charset="0"/>
            </a:rPr>
            <a:t> </a:t>
          </a:r>
        </a:p>
        <a:p>
          <a:pPr>
            <a:lnSpc>
              <a:spcPct val="107000"/>
            </a:lnSpc>
            <a:spcBef>
              <a:spcPts val="200"/>
            </a:spcBef>
            <a:spcAft>
              <a:spcPts val="0"/>
            </a:spcAft>
          </a:pPr>
          <a:r>
            <a:rPr lang="nb-NO" sz="1100" b="1">
              <a:solidFill>
                <a:srgbClr val="2E74B5"/>
              </a:solidFill>
              <a:effectLst/>
              <a:latin typeface="Calibri Light" panose="020F0302020204030204" pitchFamily="34" charset="0"/>
              <a:ea typeface="DengXian Light"/>
              <a:cs typeface="Times New Roman" panose="02020603050405020304" pitchFamily="18" charset="0"/>
            </a:rPr>
            <a:t>Timer og timelisteføring</a:t>
          </a:r>
        </a:p>
        <a:p>
          <a:pPr>
            <a:lnSpc>
              <a:spcPct val="107000"/>
            </a:lnSpc>
            <a:spcAft>
              <a:spcPts val="800"/>
            </a:spcAft>
          </a:pPr>
          <a:r>
            <a:rPr lang="nb-NO" sz="1100" b="1">
              <a:effectLst/>
              <a:latin typeface="Calibri" panose="020F0502020204030204" pitchFamily="34" charset="0"/>
              <a:ea typeface="Calibri" panose="020F0502020204030204" pitchFamily="34" charset="0"/>
              <a:cs typeface="Times New Roman" panose="02020603050405020304" pitchFamily="18" charset="0"/>
            </a:rPr>
            <a:t>For Horisont 2020 er</a:t>
          </a:r>
          <a:r>
            <a:rPr lang="nb-NO" sz="1100">
              <a:effectLst/>
              <a:latin typeface="Calibri" panose="020F0502020204030204" pitchFamily="34" charset="0"/>
              <a:ea typeface="Calibri" panose="020F0502020204030204" pitchFamily="34" charset="0"/>
              <a:cs typeface="Times New Roman" panose="02020603050405020304" pitchFamily="18" charset="0"/>
            </a:rPr>
            <a:t> </a:t>
          </a:r>
          <a:r>
            <a:rPr lang="nb-NO" sz="1100" b="1">
              <a:effectLst/>
              <a:latin typeface="Calibri" panose="020F0502020204030204" pitchFamily="34" charset="0"/>
              <a:ea typeface="Calibri" panose="020F0502020204030204" pitchFamily="34" charset="0"/>
              <a:cs typeface="Times New Roman" panose="02020603050405020304" pitchFamily="18" charset="0"/>
            </a:rPr>
            <a:t>antall årlige produktive timer ved UiO satt til 1720 timer per år.</a:t>
          </a:r>
          <a:r>
            <a:rPr lang="nb-NO" sz="1100">
              <a:effectLst/>
              <a:latin typeface="Calibri" panose="020F0502020204030204" pitchFamily="34" charset="0"/>
              <a:ea typeface="Calibri" panose="020F0502020204030204" pitchFamily="34" charset="0"/>
              <a:cs typeface="Times New Roman" panose="02020603050405020304" pitchFamily="18" charset="0"/>
            </a:rPr>
            <a:t> </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nb-NO" sz="1100">
              <a:effectLst/>
              <a:latin typeface="Calibri" panose="020F0502020204030204" pitchFamily="34" charset="0"/>
              <a:ea typeface="Calibri" panose="020F0502020204030204" pitchFamily="34" charset="0"/>
              <a:cs typeface="Times New Roman" panose="02020603050405020304" pitchFamily="18" charset="0"/>
            </a:rPr>
            <a:t>Ved redusert stilling justeres årlig produktive timer pro rata (Eks: 50%= 860 timer per år)</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nb-NO" sz="1100">
              <a:effectLst/>
              <a:latin typeface="Calibri" panose="020F0502020204030204" pitchFamily="34" charset="0"/>
              <a:ea typeface="Calibri" panose="020F0502020204030204" pitchFamily="34" charset="0"/>
              <a:cs typeface="Times New Roman" panose="02020603050405020304" pitchFamily="18" charset="0"/>
            </a:rPr>
            <a:t>Antall produktive timer påvirker ikke den faktiske arbeidstiden</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nb-NO" sz="1100">
              <a:effectLst/>
              <a:latin typeface="Calibri" panose="020F0502020204030204" pitchFamily="34" charset="0"/>
              <a:ea typeface="Calibri" panose="020F0502020204030204" pitchFamily="34" charset="0"/>
              <a:cs typeface="Times New Roman" panose="02020603050405020304" pitchFamily="18" charset="0"/>
            </a:rPr>
            <a:t>Det kan ikke rapporteres flere timer enn 1720 produktive timer per år (eller pro rata)</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nb-NO" sz="1100">
              <a:effectLst/>
              <a:latin typeface="Calibri" panose="020F0502020204030204" pitchFamily="34" charset="0"/>
              <a:ea typeface="Calibri" panose="020F0502020204030204" pitchFamily="34" charset="0"/>
              <a:cs typeface="Times New Roman" panose="02020603050405020304" pitchFamily="18" charset="0"/>
            </a:rPr>
            <a:t>Det kan ikke rapporteres større personalkostnader enn de som er regnskapsført ved UiO, men de refunderbare kostnadene vil kunne avvike fra de som er regnskapsført</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nb-NO" sz="1100">
              <a:effectLst/>
              <a:latin typeface="Calibri" panose="020F0502020204030204" pitchFamily="34" charset="0"/>
              <a:ea typeface="Calibri" panose="020F0502020204030204" pitchFamily="34" charset="0"/>
              <a:cs typeface="Times New Roman" panose="02020603050405020304" pitchFamily="18" charset="0"/>
            </a:rPr>
            <a:t>Tid brukt på prosjektet skal registreres og dokumenteres med godkjente timelister:</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lnSpc>
              <a:spcPct val="107000"/>
            </a:lnSpc>
            <a:spcAft>
              <a:spcPts val="0"/>
            </a:spcAft>
            <a:buFont typeface="+mj-lt"/>
            <a:buAutoNum type="alphaLcPeriod"/>
          </a:pPr>
          <a:r>
            <a:rPr lang="nb-NO" sz="1100">
              <a:effectLst/>
              <a:latin typeface="Calibri" panose="020F0502020204030204" pitchFamily="34" charset="0"/>
              <a:ea typeface="Calibri" panose="020F0502020204030204" pitchFamily="34" charset="0"/>
              <a:cs typeface="Times New Roman" panose="02020603050405020304" pitchFamily="18" charset="0"/>
            </a:rPr>
            <a:t>Timelister er fakturagrunnlaget og skal avspeile virkeligheten </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lnSpc>
              <a:spcPct val="107000"/>
            </a:lnSpc>
            <a:spcAft>
              <a:spcPts val="0"/>
            </a:spcAft>
            <a:buFont typeface="+mj-lt"/>
            <a:buAutoNum type="alphaLcPeriod"/>
          </a:pPr>
          <a:r>
            <a:rPr lang="nb-NO" sz="1100">
              <a:effectLst/>
              <a:latin typeface="Calibri" panose="020F0502020204030204" pitchFamily="34" charset="0"/>
              <a:ea typeface="Calibri" panose="020F0502020204030204" pitchFamily="34" charset="0"/>
              <a:cs typeface="Times New Roman" panose="02020603050405020304" pitchFamily="18" charset="0"/>
            </a:rPr>
            <a:t>Timelister skal dokumentere tid brukt på prosjektet</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lnSpc>
              <a:spcPct val="107000"/>
            </a:lnSpc>
            <a:spcAft>
              <a:spcPts val="0"/>
            </a:spcAft>
            <a:buFont typeface="+mj-lt"/>
            <a:buAutoNum type="alphaLcPeriod"/>
          </a:pPr>
          <a:r>
            <a:rPr lang="nb-NO" sz="1100">
              <a:effectLst/>
              <a:latin typeface="Calibri" panose="020F0502020204030204" pitchFamily="34" charset="0"/>
              <a:ea typeface="Calibri" panose="020F0502020204030204" pitchFamily="34" charset="0"/>
              <a:cs typeface="Times New Roman" panose="02020603050405020304" pitchFamily="18" charset="0"/>
            </a:rPr>
            <a:t>Det er ikke nødvendig å føre øvrig arbeidstid, men vær oppmerksom på å føre eventuelt sykefravær og ferie</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lnSpc>
              <a:spcPct val="107000"/>
            </a:lnSpc>
            <a:spcAft>
              <a:spcPts val="0"/>
            </a:spcAft>
            <a:buFont typeface="+mj-lt"/>
            <a:buAutoNum type="alphaLcPeriod"/>
          </a:pPr>
          <a:r>
            <a:rPr lang="nb-NO" sz="1100">
              <a:effectLst/>
              <a:latin typeface="Calibri" panose="020F0502020204030204" pitchFamily="34" charset="0"/>
              <a:ea typeface="Calibri" panose="020F0502020204030204" pitchFamily="34" charset="0"/>
              <a:cs typeface="Times New Roman" panose="02020603050405020304" pitchFamily="18" charset="0"/>
            </a:rPr>
            <a:t>Timelister føres og signeres månedlig av prosjektleder og den ansatte. For prosjektlederen signerer instituttleder eller tilsvarende.</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nb-NO" sz="1100">
              <a:effectLst/>
              <a:latin typeface="Calibri" panose="020F0502020204030204" pitchFamily="34" charset="0"/>
              <a:ea typeface="Calibri" panose="020F0502020204030204" pitchFamily="34" charset="0"/>
              <a:cs typeface="Times New Roman" panose="02020603050405020304" pitchFamily="18" charset="0"/>
            </a:rPr>
            <a:t>Ansatte som bruker all sin tid på H2020 prosjektet kan i stedet for timelister fylle ut «Declaration on a person working exclusively on a H2020 action»</a:t>
          </a:r>
        </a:p>
        <a:p>
          <a:pPr marL="342900" lvl="0" indent="-342900">
            <a:lnSpc>
              <a:spcPct val="107000"/>
            </a:lnSpc>
            <a:spcAft>
              <a:spcPts val="800"/>
            </a:spcAft>
            <a:buFont typeface="+mj-lt"/>
            <a:buAutoNum type="arabicPeriod"/>
          </a:pPr>
          <a:r>
            <a:rPr lang="nb-NO" sz="1050">
              <a:effectLst/>
              <a:latin typeface="Calibri" panose="020F0502020204030204" pitchFamily="34" charset="0"/>
              <a:ea typeface="Calibri" panose="020F0502020204030204" pitchFamily="34" charset="0"/>
              <a:cs typeface="Times New Roman" panose="02020603050405020304" pitchFamily="18" charset="0"/>
            </a:rPr>
            <a:t>Ved langtids sykefravær og fødselspermisjon reduseres produktive timer tilsvarende fraværsprosenten. </a:t>
          </a:r>
        </a:p>
        <a:p>
          <a:pPr marL="342900" lvl="0" indent="-342900">
            <a:lnSpc>
              <a:spcPct val="107000"/>
            </a:lnSpc>
            <a:spcAft>
              <a:spcPts val="800"/>
            </a:spcAft>
            <a:buFont typeface="+mj-lt"/>
            <a:buAutoNum type="arabicPeriod"/>
          </a:pP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Bef>
              <a:spcPts val="200"/>
            </a:spcBef>
            <a:spcAft>
              <a:spcPts val="0"/>
            </a:spcAft>
          </a:pPr>
          <a:r>
            <a:rPr lang="nb-NO" sz="1100" b="1">
              <a:solidFill>
                <a:srgbClr val="2E74B5"/>
              </a:solidFill>
              <a:effectLst/>
              <a:latin typeface="Calibri Light" panose="020F0302020204030204" pitchFamily="34" charset="0"/>
              <a:ea typeface="DengXian Light"/>
              <a:cs typeface="Times New Roman" panose="02020603050405020304" pitchFamily="18" charset="0"/>
            </a:rPr>
            <a:t> </a:t>
          </a:r>
        </a:p>
        <a:p>
          <a:pPr>
            <a:lnSpc>
              <a:spcPct val="107000"/>
            </a:lnSpc>
            <a:spcBef>
              <a:spcPts val="200"/>
            </a:spcBef>
            <a:spcAft>
              <a:spcPts val="0"/>
            </a:spcAft>
          </a:pPr>
          <a:r>
            <a:rPr lang="nb-NO" sz="1100" b="1">
              <a:solidFill>
                <a:srgbClr val="2E74B5"/>
              </a:solidFill>
              <a:effectLst/>
              <a:latin typeface="Calibri Light" panose="020F0302020204030204" pitchFamily="34" charset="0"/>
              <a:ea typeface="DengXian Light"/>
              <a:cs typeface="Times New Roman" panose="02020603050405020304" pitchFamily="18" charset="0"/>
            </a:rPr>
            <a:t>Sist avsluttede regnskapsår</a:t>
          </a:r>
        </a:p>
        <a:p>
          <a:pPr marL="342900" lvl="0" indent="-342900">
            <a:lnSpc>
              <a:spcPct val="107000"/>
            </a:lnSpc>
            <a:spcAft>
              <a:spcPts val="0"/>
            </a:spcAft>
            <a:buFont typeface="+mj-lt"/>
            <a:buAutoNum type="arabicPeriod"/>
          </a:pPr>
          <a:r>
            <a:rPr lang="nb-NO" sz="1100">
              <a:effectLst/>
              <a:latin typeface="Calibri" panose="020F0502020204030204" pitchFamily="34" charset="0"/>
              <a:ea typeface="Calibri" panose="020F0502020204030204" pitchFamily="34" charset="0"/>
              <a:cs typeface="Times New Roman" panose="02020603050405020304" pitchFamily="18" charset="0"/>
            </a:rPr>
            <a:t>Med sist avsluttet regnskapsår menes i praksis siste kalenderår (januar til desember)</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nb-NO" sz="1100">
              <a:effectLst/>
              <a:latin typeface="Calibri" panose="020F0502020204030204" pitchFamily="34" charset="0"/>
              <a:ea typeface="Calibri" panose="020F0502020204030204" pitchFamily="34" charset="0"/>
              <a:cs typeface="Times New Roman" panose="02020603050405020304" pitchFamily="18" charset="0"/>
            </a:rPr>
            <a:t>Fjorårets regnskapsførte personalkostnader for den ansatte skal legges til grunn for beregning av timepris for de månedene i </a:t>
          </a:r>
          <a:r>
            <a:rPr lang="nb-NO" sz="1100" u="sng">
              <a:effectLst/>
              <a:latin typeface="Calibri" panose="020F0502020204030204" pitchFamily="34" charset="0"/>
              <a:ea typeface="Calibri" panose="020F0502020204030204" pitchFamily="34" charset="0"/>
              <a:cs typeface="Times New Roman" panose="02020603050405020304" pitchFamily="18" charset="0"/>
            </a:rPr>
            <a:t>rapporteringsperioden</a:t>
          </a:r>
          <a:r>
            <a:rPr lang="nb-NO" sz="1100">
              <a:effectLst/>
              <a:latin typeface="Calibri" panose="020F0502020204030204" pitchFamily="34" charset="0"/>
              <a:ea typeface="Calibri" panose="020F0502020204030204" pitchFamily="34" charset="0"/>
              <a:cs typeface="Times New Roman" panose="02020603050405020304" pitchFamily="18" charset="0"/>
            </a:rPr>
            <a:t> som ikke er en del av et avsluttet regnskapsår</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nb-NO" sz="1100">
              <a:effectLst/>
              <a:latin typeface="Calibri" panose="020F0502020204030204" pitchFamily="34" charset="0"/>
              <a:ea typeface="Calibri" panose="020F0502020204030204" pitchFamily="34" charset="0"/>
              <a:cs typeface="Times New Roman" panose="02020603050405020304" pitchFamily="18" charset="0"/>
            </a:rPr>
            <a:t>Fjorårets regnskapsførte personalkostnad følger av ansettelsesforholdet ved UiO og gjelder uavhengig av ny eller endringer i stillingen i inneværende år. (Som eksempel vil en postdoktor fremdeles bruke fjorårets personalkostnad for beregning av timepris selv om vedkommende da var ansatt som stipendiat ved UiO)</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nb-NO" sz="1100">
              <a:effectLst/>
              <a:latin typeface="Calibri" panose="020F0502020204030204" pitchFamily="34" charset="0"/>
              <a:ea typeface="Calibri" panose="020F0502020204030204" pitchFamily="34" charset="0"/>
              <a:cs typeface="Times New Roman" panose="02020603050405020304" pitchFamily="18" charset="0"/>
            </a:rPr>
            <a:t>Avvik mellom regnskapsførte utgifter og rapporterte kostnader som følger av at avsluttet regnskapsår brukes kan </a:t>
          </a:r>
          <a:r>
            <a:rPr lang="nb-NO" sz="1100" u="sng">
              <a:effectLst/>
              <a:latin typeface="Calibri" panose="020F0502020204030204" pitchFamily="34" charset="0"/>
              <a:ea typeface="Calibri" panose="020F0502020204030204" pitchFamily="34" charset="0"/>
              <a:cs typeface="Times New Roman" panose="02020603050405020304" pitchFamily="18" charset="0"/>
            </a:rPr>
            <a:t>ikke</a:t>
          </a:r>
          <a:r>
            <a:rPr lang="nb-NO" sz="1100">
              <a:effectLst/>
              <a:latin typeface="Calibri" panose="020F0502020204030204" pitchFamily="34" charset="0"/>
              <a:ea typeface="Calibri" panose="020F0502020204030204" pitchFamily="34" charset="0"/>
              <a:cs typeface="Times New Roman" panose="02020603050405020304" pitchFamily="18" charset="0"/>
            </a:rPr>
            <a:t> justeres i neste rapporteringsperiode</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mj-lt"/>
            <a:buAutoNum type="arabicPeriod"/>
          </a:pPr>
          <a:r>
            <a:rPr lang="nb-NO" sz="1100">
              <a:effectLst/>
              <a:latin typeface="Calibri" panose="020F0502020204030204" pitchFamily="34" charset="0"/>
              <a:ea typeface="Calibri" panose="020F0502020204030204" pitchFamily="34" charset="0"/>
              <a:cs typeface="Times New Roman" panose="02020603050405020304" pitchFamily="18" charset="0"/>
            </a:rPr>
            <a:t>Har den ansatte ikke vært ansatt i et avsluttet regnskapsår brukes personalkostnadene i inneværende år for beregning av timepris</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UiOs mal for timelister for H2020 prosjekter, «Declaration on a person working exclusively on a H2020 action» og skjema for beregning av personalkostnader i H2020 prosjekter kan lastes ned fra UiOs nettsider om </a:t>
          </a:r>
          <a:r>
            <a:rPr lang="nb-NO"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ekstern finansiering</a:t>
          </a:r>
          <a:r>
            <a:rPr lang="nb-NO" sz="1200" b="1">
              <a:effectLst/>
              <a:latin typeface="Calibri" panose="020F0502020204030204" pitchFamily="34" charset="0"/>
              <a:ea typeface="Calibri" panose="020F0502020204030204" pitchFamily="34" charset="0"/>
              <a:cs typeface="Times New Roman" panose="02020603050405020304" pitchFamily="18" charset="0"/>
            </a:rPr>
            <a:t>.</a:t>
          </a:r>
          <a:r>
            <a:rPr lang="nb-NO" sz="1100">
              <a:effectLst/>
              <a:latin typeface="Calibri" panose="020F0502020204030204" pitchFamily="34" charset="0"/>
              <a:ea typeface="Calibri" panose="020F0502020204030204" pitchFamily="34" charset="0"/>
              <a:cs typeface="Times New Roman" panose="02020603050405020304" pitchFamily="18" charset="0"/>
            </a:rPr>
            <a:t> </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nb-NO" sz="1100" b="1">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 </a:t>
          </a:r>
          <a:endParaRPr lang="nb-NO" sz="10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nb-NO" sz="1100" b="1">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NB! </a:t>
          </a:r>
          <a:r>
            <a:rPr lang="nb-NO" sz="1100" b="1" u="sng">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Prosjekter finansiert gjennom EUs 7. rammeprogram (FP7) følger egne retningslinjer for beregning av personalkostnader.</a:t>
          </a:r>
          <a:r>
            <a:rPr lang="nb-NO" sz="1100" b="1">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 Denne veiledningen skal følgelig </a:t>
          </a:r>
          <a:r>
            <a:rPr lang="nb-NO" sz="1100" b="1" u="sng">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ikke</a:t>
          </a:r>
          <a:r>
            <a:rPr lang="nb-NO" sz="1100" b="1">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 legges til grunn for beregning av personalkostnader for FP7 prosjekter.</a:t>
          </a:r>
          <a:endParaRPr lang="nb-NO" sz="10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nb-NO" sz="1100" b="1">
              <a:effectLst/>
              <a:latin typeface="Calibri" panose="020F0502020204030204" pitchFamily="34" charset="0"/>
              <a:ea typeface="Calibri" panose="020F0502020204030204" pitchFamily="34" charset="0"/>
              <a:cs typeface="Times New Roman" panose="02020603050405020304" pitchFamily="18" charset="0"/>
            </a:rPr>
            <a:t> </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nb-NO" sz="1100" b="1">
              <a:effectLst/>
              <a:latin typeface="Calibri" panose="020F0502020204030204" pitchFamily="34" charset="0"/>
              <a:ea typeface="Calibri" panose="020F0502020204030204" pitchFamily="34" charset="0"/>
              <a:cs typeface="Times New Roman" panose="02020603050405020304" pitchFamily="18" charset="0"/>
            </a:rPr>
            <a:t>For videre informasjon om UiOs retningslinjer for rapportering av personalkostnader til EU henvises til UiOs generelle nettsider om </a:t>
          </a:r>
          <a:r>
            <a:rPr lang="nb-NO" sz="1100" b="1"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HORIZON 2020: EU research funding</a:t>
          </a:r>
          <a:r>
            <a:rPr lang="nb-NO" sz="1100" b="1">
              <a:effectLst/>
              <a:latin typeface="Calibri" panose="020F0502020204030204" pitchFamily="34" charset="0"/>
              <a:ea typeface="Calibri" panose="020F0502020204030204" pitchFamily="34" charset="0"/>
              <a:cs typeface="Times New Roman" panose="02020603050405020304" pitchFamily="18" charset="0"/>
            </a:rPr>
            <a:t>, inkludert spesifikk seksjon om </a:t>
          </a:r>
          <a:r>
            <a:rPr lang="nb-NO" sz="1100" b="1"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Management and Reporting of Horizon 2020 Projects.</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nb-NO" sz="1100" b="1">
              <a:effectLst/>
              <a:latin typeface="Calibri" panose="020F0502020204030204" pitchFamily="34" charset="0"/>
              <a:ea typeface="Calibri" panose="020F0502020204030204" pitchFamily="34" charset="0"/>
              <a:cs typeface="Times New Roman" panose="02020603050405020304" pitchFamily="18" charset="0"/>
            </a:rPr>
            <a:t> </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nb-NO" sz="1100" b="1">
              <a:effectLst/>
              <a:latin typeface="Calibri" panose="020F0502020204030204" pitchFamily="34" charset="0"/>
              <a:ea typeface="Calibri" panose="020F0502020204030204" pitchFamily="34" charset="0"/>
              <a:cs typeface="Times New Roman" panose="02020603050405020304" pitchFamily="18" charset="0"/>
            </a:rPr>
            <a:t>For spørsmål rundt UiOs rapportering av lønnskostnader til EU, kontakt UiOs sentrale EU-kontor:</a:t>
          </a:r>
          <a:endParaRPr lang="nb-NO" sz="105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800"/>
            </a:spcAft>
          </a:pPr>
          <a:r>
            <a:rPr lang="nb-NO" sz="1100" b="1"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eu-office@admin.uio.no</a:t>
          </a:r>
          <a:endParaRPr lang="nb-NO" sz="900">
            <a:effectLst/>
            <a:latin typeface="Calibri" panose="020F0502020204030204" pitchFamily="34" charset="0"/>
            <a:ea typeface="Calibri" panose="020F0502020204030204" pitchFamily="34" charset="0"/>
            <a:cs typeface="Times New Roman" panose="02020603050405020304" pitchFamily="18" charset="0"/>
          </a:endParaRPr>
        </a:p>
        <a:p>
          <a:pPr>
            <a:spcAft>
              <a:spcPts val="0"/>
            </a:spcAft>
          </a:pPr>
          <a:r>
            <a:rPr lang="nb-NO" sz="1100">
              <a:effectLst/>
              <a:latin typeface="Calibri" panose="020F0502020204030204" pitchFamily="34" charset="0"/>
              <a:ea typeface="Calibri" panose="020F0502020204030204" pitchFamily="34" charset="0"/>
              <a:cs typeface="Times New Roman" panose="02020603050405020304" pitchFamily="18" charset="0"/>
            </a:rPr>
            <a:t>Grunnlaget for totale personalkostnader er art 5000-5499 i regnskapet</a:t>
          </a:r>
        </a:p>
        <a:p>
          <a:pPr>
            <a:spcAft>
              <a:spcPts val="0"/>
            </a:spcAft>
          </a:pPr>
          <a:r>
            <a:rPr lang="nb-NO" sz="1100">
              <a:effectLst/>
              <a:latin typeface="Calibri" panose="020F0502020204030204" pitchFamily="34" charset="0"/>
              <a:ea typeface="Calibri" panose="020F0502020204030204" pitchFamily="34" charset="0"/>
              <a:cs typeface="Times New Roman" panose="02020603050405020304" pitchFamily="18" charset="0"/>
            </a:rPr>
            <a:t>Det er </a:t>
          </a:r>
          <a:r>
            <a:rPr lang="nb-NO" sz="1100" u="sng">
              <a:effectLst/>
              <a:latin typeface="Calibri" panose="020F0502020204030204" pitchFamily="34" charset="0"/>
              <a:ea typeface="Calibri" panose="020F0502020204030204" pitchFamily="34" charset="0"/>
              <a:cs typeface="Times New Roman" panose="02020603050405020304" pitchFamily="18" charset="0"/>
            </a:rPr>
            <a:t>rapporteringsperioden</a:t>
          </a:r>
          <a:r>
            <a:rPr lang="nb-NO" sz="1100">
              <a:effectLst/>
              <a:latin typeface="Calibri" panose="020F0502020204030204" pitchFamily="34" charset="0"/>
              <a:ea typeface="Calibri" panose="020F0502020204030204" pitchFamily="34" charset="0"/>
              <a:cs typeface="Times New Roman" panose="02020603050405020304" pitchFamily="18" charset="0"/>
            </a:rPr>
            <a:t> som er styrende og ikke når rapporten faktisk leveres.</a:t>
          </a:r>
        </a:p>
        <a:p>
          <a:endParaRPr lang="nb-NO"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425823</xdr:colOff>
      <xdr:row>22</xdr:row>
      <xdr:rowOff>112059</xdr:rowOff>
    </xdr:from>
    <xdr:ext cx="8505266" cy="2667000"/>
    <xdr:sp macro="" textlink="">
      <xdr:nvSpPr>
        <xdr:cNvPr id="2" name="TextBox 1"/>
        <xdr:cNvSpPr txBox="1"/>
      </xdr:nvSpPr>
      <xdr:spPr>
        <a:xfrm>
          <a:off x="1625973" y="4807884"/>
          <a:ext cx="8505266" cy="26670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200" baseline="0"/>
            <a:t>Presiseringer:</a:t>
          </a:r>
          <a:endParaRPr lang="nb-NO" sz="1200"/>
        </a:p>
        <a:p>
          <a:endParaRPr lang="nb-NO" sz="1100"/>
        </a:p>
        <a:p>
          <a:r>
            <a:rPr lang="nb-NO" sz="1100" baseline="0"/>
            <a:t>1) Beregningen av timesats er ufravikelig  of skal gjøres of alle ansatte som refunderes av prosjektet</a:t>
          </a:r>
        </a:p>
        <a:p>
          <a:endParaRPr lang="nb-NO" sz="1100" baseline="0"/>
        </a:p>
        <a:p>
          <a:r>
            <a:rPr lang="nb-NO" sz="1100" baseline="0"/>
            <a:t>2) Dersom antall timer i timelistene overstiger de produktive timene tas de ikke med i refusjonskravet til EU</a:t>
          </a:r>
        </a:p>
        <a:p>
          <a:endParaRPr lang="nb-NO" sz="1100" baseline="0"/>
        </a:p>
        <a:p>
          <a:r>
            <a:rPr lang="nb-NO" sz="1100" baseline="0"/>
            <a:t>3) "Refusjonskrav fra EU" kan aldri være høyere enn "Personalkostnader SAP fratrukket Nav- refusjoner"</a:t>
          </a:r>
        </a:p>
        <a:p>
          <a:endParaRPr lang="nb-NO" sz="1100" baseline="0"/>
        </a:p>
        <a:p>
          <a:r>
            <a:rPr lang="nb-NO" sz="1100" baseline="0"/>
            <a:t>4) </a:t>
          </a:r>
          <a:r>
            <a:rPr lang="nb-NO" sz="1100">
              <a:solidFill>
                <a:schemeClr val="tx1"/>
              </a:solidFill>
              <a:effectLst/>
              <a:latin typeface="+mn-lt"/>
              <a:ea typeface="+mn-ea"/>
              <a:cs typeface="+mn-cs"/>
            </a:rPr>
            <a:t>Ved langtids sykefravær og fødselspermisjon reduseres den produktive timer tilsvarende fraværsprosenten. </a:t>
          </a:r>
        </a:p>
        <a:p>
          <a:r>
            <a:rPr lang="nb-NO" sz="1100">
              <a:solidFill>
                <a:schemeClr val="tx1"/>
              </a:solidFill>
              <a:effectLst/>
              <a:latin typeface="+mn-lt"/>
              <a:ea typeface="+mn-ea"/>
              <a:cs typeface="+mn-cs"/>
            </a:rPr>
            <a:t>Ved kortere fravær (feks</a:t>
          </a:r>
          <a:r>
            <a:rPr lang="nb-NO" sz="1100" baseline="0">
              <a:solidFill>
                <a:schemeClr val="tx1"/>
              </a:solidFill>
              <a:effectLst/>
              <a:latin typeface="+mn-lt"/>
              <a:ea typeface="+mn-ea"/>
              <a:cs typeface="+mn-cs"/>
            </a:rPr>
            <a:t> egenenmelding) </a:t>
          </a:r>
          <a:r>
            <a:rPr lang="nb-NO" sz="1100">
              <a:solidFill>
                <a:schemeClr val="tx1"/>
              </a:solidFill>
              <a:effectLst/>
              <a:latin typeface="+mn-lt"/>
              <a:ea typeface="+mn-ea"/>
              <a:cs typeface="+mn-cs"/>
            </a:rPr>
            <a:t>skal 1720 fremdeles brukes. </a:t>
          </a:r>
          <a:endParaRPr lang="nb-NO">
            <a:effectLst/>
          </a:endParaRPr>
        </a:p>
        <a:p>
          <a:endParaRPr lang="nb-NO" sz="1100" baseline="0"/>
        </a:p>
        <a:p>
          <a:r>
            <a:rPr lang="nb-NO" sz="1100" baseline="0"/>
            <a:t>5) Alle rapporteringsperioder må minimum ha to linjer for timesatser</a:t>
          </a:r>
        </a:p>
        <a:p>
          <a:endParaRPr lang="nb-NO" sz="1100" baseline="0"/>
        </a:p>
        <a:p>
          <a:r>
            <a:rPr lang="nb-NO" sz="1100" baseline="0"/>
            <a:t>  Ved spørsmål ta kontakt med : terje.bakke@admin.uio.no/eu-office@admin.uio.no</a:t>
          </a:r>
        </a:p>
        <a:p>
          <a:endParaRPr lang="nb-NO" sz="1100" baseline="0"/>
        </a:p>
        <a:p>
          <a:endParaRPr lang="nb-NO" sz="1100" baseline="0"/>
        </a:p>
        <a:p>
          <a:endParaRPr lang="nb-NO" sz="1100" baseline="0"/>
        </a:p>
        <a:p>
          <a:endParaRPr lang="nb-NO" sz="1100"/>
        </a:p>
        <a:p>
          <a:endParaRPr lang="nb-NO"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ecb.europa.eu/stats/policy_and_exchange_rates/euro_reference_exchange_rates/html/eurofxref-graph-nok.en.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ecb.europa.eu/stats/policy_and_exchange_rates/euro_reference_exchange_rates/html/eurofxref-graph-nok.en.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ecb.europa.eu/stats/policy_and_exchange_rates/euro_reference_exchange_rates/html/eurofxref-graph-nok.en.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ecb.europa.eu/stats/policy_and_exchange_rates/euro_reference_exchange_rates/html/eurofxref-graph-nok.en.html"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ecb.europa.eu/stats/policy_and_exchange_rates/euro_reference_exchange_rates/html/eurofxref-graph-nok.en.html"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2"/>
  <sheetViews>
    <sheetView topLeftCell="A46" workbookViewId="0">
      <selection activeCell="G56" sqref="G56"/>
    </sheetView>
  </sheetViews>
  <sheetFormatPr defaultColWidth="11.42578125" defaultRowHeight="15" x14ac:dyDescent="0.25"/>
  <cols>
    <col min="1" max="1" width="14.28515625" customWidth="1"/>
    <col min="7" max="7" width="12.28515625" bestFit="1" customWidth="1"/>
  </cols>
  <sheetData>
    <row r="1" spans="1:16" s="9" customFormat="1" x14ac:dyDescent="0.25">
      <c r="A1" s="2" t="s">
        <v>36</v>
      </c>
    </row>
    <row r="2" spans="1:16" ht="15.75" thickBot="1" x14ac:dyDescent="0.3">
      <c r="A2" t="s">
        <v>20</v>
      </c>
      <c r="C2">
        <v>9.8752999999999993</v>
      </c>
    </row>
    <row r="3" spans="1:16" x14ac:dyDescent="0.25">
      <c r="J3" s="33"/>
      <c r="K3" s="34"/>
      <c r="L3" s="35"/>
      <c r="M3" s="32" t="s">
        <v>18</v>
      </c>
      <c r="N3" s="31" t="s">
        <v>53</v>
      </c>
      <c r="O3" s="31" t="s">
        <v>0</v>
      </c>
      <c r="P3" s="31" t="s">
        <v>42</v>
      </c>
    </row>
    <row r="4" spans="1:16" x14ac:dyDescent="0.25">
      <c r="A4" s="2" t="s">
        <v>34</v>
      </c>
      <c r="J4" s="36" t="s">
        <v>52</v>
      </c>
      <c r="K4" s="7"/>
      <c r="L4" s="37"/>
      <c r="M4" s="32"/>
      <c r="N4" s="31"/>
      <c r="O4" s="31"/>
      <c r="P4" s="31"/>
    </row>
    <row r="5" spans="1:16" x14ac:dyDescent="0.25">
      <c r="J5" s="38"/>
      <c r="K5" s="7"/>
      <c r="L5" s="37"/>
      <c r="M5" s="32"/>
      <c r="N5" s="31"/>
      <c r="O5" s="31"/>
      <c r="P5" s="31"/>
    </row>
    <row r="6" spans="1:16" x14ac:dyDescent="0.25">
      <c r="A6" s="2" t="s">
        <v>19</v>
      </c>
      <c r="J6" s="38" t="s">
        <v>19</v>
      </c>
      <c r="K6" s="7"/>
      <c r="L6" s="37"/>
      <c r="M6" s="32"/>
      <c r="N6" s="31"/>
      <c r="O6" s="31"/>
      <c r="P6" s="31"/>
    </row>
    <row r="7" spans="1:16" x14ac:dyDescent="0.25">
      <c r="A7" s="9" t="s">
        <v>21</v>
      </c>
      <c r="B7" s="9"/>
      <c r="C7" s="9"/>
      <c r="D7" s="9"/>
      <c r="E7" s="9"/>
      <c r="F7" s="20">
        <v>569000.39</v>
      </c>
      <c r="G7" s="21">
        <f>+F7*C2</f>
        <v>5619049.5513669997</v>
      </c>
      <c r="J7" s="38"/>
      <c r="K7" s="7"/>
      <c r="L7" s="37"/>
      <c r="M7" s="32"/>
      <c r="N7" s="31"/>
      <c r="O7" s="31"/>
      <c r="P7" s="31"/>
    </row>
    <row r="8" spans="1:16" x14ac:dyDescent="0.25">
      <c r="A8" s="9"/>
      <c r="B8" s="9"/>
      <c r="C8" s="9"/>
      <c r="D8" s="9"/>
      <c r="E8" s="9"/>
      <c r="F8" s="3"/>
      <c r="G8" s="3"/>
      <c r="J8" s="38"/>
      <c r="K8" s="7"/>
      <c r="L8" s="37"/>
      <c r="M8" s="32"/>
      <c r="N8" s="31"/>
      <c r="O8" s="31"/>
      <c r="P8" s="31"/>
    </row>
    <row r="9" spans="1:16" x14ac:dyDescent="0.25">
      <c r="A9" s="28" t="s">
        <v>30</v>
      </c>
      <c r="B9" s="9"/>
      <c r="C9" s="9"/>
      <c r="D9" s="9"/>
      <c r="E9" s="9"/>
      <c r="F9" s="21">
        <v>536137.72</v>
      </c>
      <c r="G9" s="3">
        <v>5294520.83</v>
      </c>
      <c r="J9" s="38" t="s">
        <v>35</v>
      </c>
      <c r="K9" s="7"/>
      <c r="L9" s="37"/>
      <c r="M9" s="32"/>
      <c r="N9" s="31"/>
      <c r="O9" s="31"/>
      <c r="P9" s="31"/>
    </row>
    <row r="10" spans="1:16" x14ac:dyDescent="0.25">
      <c r="A10" s="9"/>
      <c r="B10" s="9"/>
      <c r="C10" s="9"/>
      <c r="D10" s="9"/>
      <c r="E10" s="9"/>
      <c r="F10" s="3"/>
      <c r="G10" s="3"/>
      <c r="J10" s="38" t="s">
        <v>54</v>
      </c>
      <c r="K10" s="7"/>
      <c r="L10" s="37"/>
      <c r="M10" s="32"/>
      <c r="N10" s="31"/>
      <c r="O10" s="31"/>
      <c r="P10" s="31"/>
    </row>
    <row r="11" spans="1:16" x14ac:dyDescent="0.25">
      <c r="A11" s="1" t="s">
        <v>0</v>
      </c>
      <c r="B11" s="1"/>
      <c r="C11" s="1"/>
      <c r="D11" s="1"/>
      <c r="E11" s="1"/>
      <c r="F11" s="22">
        <f>F7-F9</f>
        <v>32862.670000000042</v>
      </c>
      <c r="G11" s="22">
        <f>+G7-G9</f>
        <v>324528.72136699967</v>
      </c>
      <c r="J11" s="38" t="s">
        <v>55</v>
      </c>
      <c r="K11" s="7"/>
      <c r="L11" s="37"/>
      <c r="M11" s="32"/>
      <c r="N11" s="31"/>
      <c r="O11" s="31"/>
      <c r="P11" s="31"/>
    </row>
    <row r="12" spans="1:16" x14ac:dyDescent="0.25">
      <c r="A12" s="7"/>
      <c r="D12" s="7"/>
      <c r="E12" s="23"/>
      <c r="F12" s="23"/>
      <c r="G12" s="23"/>
      <c r="J12" s="38" t="s">
        <v>56</v>
      </c>
      <c r="K12" s="7"/>
      <c r="L12" s="37"/>
      <c r="M12" s="32"/>
      <c r="N12" s="31"/>
      <c r="O12" s="31"/>
      <c r="P12" s="31"/>
    </row>
    <row r="13" spans="1:16" x14ac:dyDescent="0.25">
      <c r="A13" s="7" t="s">
        <v>31</v>
      </c>
      <c r="B13" s="7"/>
      <c r="C13" s="7"/>
      <c r="D13" s="7"/>
      <c r="E13" s="7"/>
      <c r="F13" s="23"/>
      <c r="G13" s="23"/>
      <c r="J13" s="38" t="s">
        <v>57</v>
      </c>
      <c r="K13" s="7"/>
      <c r="L13" s="37"/>
      <c r="M13" s="32"/>
      <c r="N13" s="31"/>
      <c r="O13" s="31"/>
      <c r="P13" s="31"/>
    </row>
    <row r="14" spans="1:16" s="9" customFormat="1" x14ac:dyDescent="0.25">
      <c r="A14" s="7"/>
      <c r="B14" s="7"/>
      <c r="C14" s="7"/>
      <c r="D14" s="7"/>
      <c r="E14" s="7"/>
      <c r="F14" s="23"/>
      <c r="G14" s="23"/>
      <c r="J14" s="38"/>
      <c r="K14" s="7"/>
      <c r="L14" s="37"/>
      <c r="M14" s="32"/>
      <c r="N14" s="31"/>
      <c r="O14" s="31"/>
      <c r="P14" s="31"/>
    </row>
    <row r="15" spans="1:16" x14ac:dyDescent="0.25">
      <c r="A15" s="7" t="s">
        <v>24</v>
      </c>
      <c r="C15" s="7"/>
      <c r="D15" s="7"/>
      <c r="E15" s="7"/>
      <c r="F15" s="23">
        <f>+G15/C2</f>
        <v>15828.582422812473</v>
      </c>
      <c r="G15" s="23">
        <f>52104*3</f>
        <v>156312</v>
      </c>
      <c r="J15" s="38" t="s">
        <v>58</v>
      </c>
      <c r="K15" s="7"/>
      <c r="L15" s="37"/>
      <c r="M15" s="32"/>
      <c r="N15" s="31"/>
      <c r="O15" s="31"/>
      <c r="P15" s="31"/>
    </row>
    <row r="16" spans="1:16" x14ac:dyDescent="0.25">
      <c r="A16" s="7"/>
      <c r="B16" s="7"/>
      <c r="C16" s="7"/>
      <c r="D16" s="7"/>
      <c r="E16" s="7"/>
      <c r="F16" s="23"/>
      <c r="G16" s="23"/>
      <c r="J16" s="38"/>
      <c r="K16" s="7"/>
      <c r="L16" s="37"/>
      <c r="M16" s="32"/>
      <c r="N16" s="31"/>
      <c r="O16" s="31"/>
      <c r="P16" s="31"/>
    </row>
    <row r="17" spans="1:16" x14ac:dyDescent="0.25">
      <c r="A17" s="7" t="s">
        <v>22</v>
      </c>
      <c r="B17" s="7"/>
      <c r="C17" s="7" t="s">
        <v>23</v>
      </c>
      <c r="D17" s="7"/>
      <c r="E17" s="7"/>
      <c r="F17" s="23">
        <f>+G17/C2</f>
        <v>5074.773424604823</v>
      </c>
      <c r="G17" s="23">
        <v>50114.91</v>
      </c>
      <c r="J17" s="38" t="s">
        <v>59</v>
      </c>
      <c r="K17" s="7"/>
      <c r="L17" s="37"/>
      <c r="M17" s="32"/>
      <c r="N17" s="31"/>
      <c r="O17" s="31"/>
      <c r="P17" s="31"/>
    </row>
    <row r="18" spans="1:16" s="9" customFormat="1" x14ac:dyDescent="0.25">
      <c r="A18" s="7"/>
      <c r="B18" s="7"/>
      <c r="C18" s="7"/>
      <c r="D18" s="7"/>
      <c r="E18" s="7"/>
      <c r="F18" s="23"/>
      <c r="G18" s="23"/>
      <c r="J18" s="38"/>
      <c r="K18" s="7"/>
      <c r="L18" s="37"/>
      <c r="M18" s="32"/>
      <c r="N18" s="31"/>
      <c r="O18" s="31"/>
      <c r="P18" s="31"/>
    </row>
    <row r="19" spans="1:16" s="9" customFormat="1" x14ac:dyDescent="0.25">
      <c r="A19" s="7"/>
      <c r="B19" s="7"/>
      <c r="C19" s="7"/>
      <c r="D19" s="7"/>
      <c r="E19" s="7"/>
      <c r="F19" s="23"/>
      <c r="G19" s="23"/>
      <c r="J19" s="38" t="s">
        <v>49</v>
      </c>
      <c r="K19" s="7"/>
      <c r="L19" s="37"/>
      <c r="M19" s="32"/>
      <c r="N19" s="31"/>
      <c r="O19" s="31"/>
      <c r="P19" s="31"/>
    </row>
    <row r="20" spans="1:16" s="9" customFormat="1" x14ac:dyDescent="0.25">
      <c r="A20" s="7"/>
      <c r="B20" s="7"/>
      <c r="C20" s="7"/>
      <c r="D20" s="7"/>
      <c r="E20" s="7"/>
      <c r="F20" s="23"/>
      <c r="G20" s="23"/>
      <c r="J20" s="38"/>
      <c r="K20" s="7"/>
      <c r="L20" s="37"/>
      <c r="M20" s="32"/>
      <c r="N20" s="31"/>
      <c r="O20" s="31"/>
      <c r="P20" s="31"/>
    </row>
    <row r="21" spans="1:16" s="9" customFormat="1" ht="15.75" thickBot="1" x14ac:dyDescent="0.3">
      <c r="A21" s="7"/>
      <c r="B21" s="7"/>
      <c r="C21" s="7"/>
      <c r="D21" s="7"/>
      <c r="E21" s="7"/>
      <c r="F21" s="23"/>
      <c r="G21" s="23"/>
      <c r="J21" s="39" t="s">
        <v>60</v>
      </c>
      <c r="K21" s="10"/>
      <c r="L21" s="40"/>
      <c r="M21" s="32"/>
      <c r="N21" s="31"/>
      <c r="O21" s="31"/>
      <c r="P21" s="31"/>
    </row>
    <row r="22" spans="1:16" s="9" customFormat="1" x14ac:dyDescent="0.25">
      <c r="A22" s="7" t="s">
        <v>32</v>
      </c>
      <c r="B22" s="7"/>
      <c r="C22" s="7"/>
      <c r="D22" s="7"/>
      <c r="E22" s="7"/>
      <c r="F22" s="23">
        <f>SUM(F13:F21)</f>
        <v>20903.355847417297</v>
      </c>
      <c r="G22" s="23">
        <f>SUM(G13:G21)</f>
        <v>206426.91</v>
      </c>
    </row>
    <row r="23" spans="1:16" s="9" customFormat="1" x14ac:dyDescent="0.25">
      <c r="A23" s="7"/>
      <c r="B23" s="7"/>
      <c r="C23" s="7"/>
      <c r="D23" s="7"/>
      <c r="E23" s="7"/>
      <c r="F23" s="23"/>
      <c r="G23" s="23"/>
    </row>
    <row r="24" spans="1:16" s="9" customFormat="1" x14ac:dyDescent="0.25">
      <c r="A24" s="1" t="s">
        <v>33</v>
      </c>
      <c r="B24" s="1"/>
      <c r="C24" s="1"/>
      <c r="D24" s="1"/>
      <c r="E24" s="1"/>
      <c r="F24" s="22">
        <f>+F11-F22</f>
        <v>11959.314152582745</v>
      </c>
      <c r="G24" s="22">
        <f>+G11-G22</f>
        <v>118101.81136699967</v>
      </c>
    </row>
    <row r="25" spans="1:16" s="9" customFormat="1" x14ac:dyDescent="0.25">
      <c r="A25" s="7"/>
      <c r="B25" s="7"/>
      <c r="C25" s="7"/>
      <c r="D25" s="7"/>
      <c r="E25" s="7"/>
      <c r="F25" s="23"/>
      <c r="G25" s="23"/>
    </row>
    <row r="26" spans="1:16" s="9" customFormat="1" x14ac:dyDescent="0.25">
      <c r="A26" s="7"/>
      <c r="B26" s="7"/>
      <c r="C26" s="7"/>
      <c r="D26" s="7"/>
      <c r="E26" s="7"/>
      <c r="F26" s="23"/>
      <c r="G26" s="23"/>
    </row>
    <row r="27" spans="1:16" s="9" customFormat="1" x14ac:dyDescent="0.25">
      <c r="A27" s="7"/>
      <c r="B27" s="7"/>
      <c r="C27" s="7"/>
      <c r="D27" s="7"/>
      <c r="E27" s="7"/>
      <c r="F27" s="23"/>
      <c r="G27" s="23"/>
    </row>
    <row r="28" spans="1:16" s="9" customFormat="1" x14ac:dyDescent="0.25">
      <c r="A28" s="7"/>
      <c r="B28" s="7"/>
      <c r="C28" s="7"/>
      <c r="D28" s="7"/>
      <c r="E28" s="7"/>
      <c r="F28" s="23"/>
      <c r="G28" s="23"/>
    </row>
    <row r="29" spans="1:16" s="9" customFormat="1" x14ac:dyDescent="0.25">
      <c r="A29" s="7"/>
      <c r="B29" s="7"/>
      <c r="C29" s="7"/>
      <c r="D29" s="7"/>
      <c r="E29" s="7"/>
      <c r="F29" s="23"/>
      <c r="G29" s="23"/>
    </row>
    <row r="30" spans="1:16" s="9" customFormat="1" x14ac:dyDescent="0.25">
      <c r="A30" s="29" t="s">
        <v>37</v>
      </c>
      <c r="B30" s="7"/>
      <c r="C30" s="7"/>
      <c r="D30" s="7"/>
      <c r="E30" s="7"/>
      <c r="F30" s="23"/>
      <c r="G30" s="23"/>
    </row>
    <row r="31" spans="1:16" s="9" customFormat="1" x14ac:dyDescent="0.25">
      <c r="A31" s="7"/>
      <c r="B31" s="7"/>
      <c r="C31" s="7"/>
      <c r="D31" s="7"/>
      <c r="E31" s="7"/>
      <c r="F31" s="23"/>
      <c r="G31" s="23"/>
    </row>
    <row r="32" spans="1:16" s="9" customFormat="1" x14ac:dyDescent="0.25">
      <c r="A32" s="7"/>
      <c r="B32" s="7"/>
      <c r="C32" s="7"/>
      <c r="D32" s="7"/>
      <c r="E32" s="7"/>
      <c r="F32" s="23"/>
      <c r="G32" s="23"/>
    </row>
    <row r="33" spans="1:7" s="9" customFormat="1" x14ac:dyDescent="0.25">
      <c r="A33" s="7" t="s">
        <v>25</v>
      </c>
      <c r="B33" s="7"/>
      <c r="D33" s="7"/>
      <c r="E33" s="7"/>
      <c r="F33" s="23"/>
      <c r="G33" s="23">
        <v>1576702.87</v>
      </c>
    </row>
    <row r="34" spans="1:7" s="9" customFormat="1" x14ac:dyDescent="0.25">
      <c r="A34" s="24" t="s">
        <v>26</v>
      </c>
      <c r="B34" s="7"/>
      <c r="D34" s="7"/>
      <c r="E34" s="7"/>
      <c r="F34" s="23"/>
      <c r="G34" s="23">
        <v>2925613.06</v>
      </c>
    </row>
    <row r="35" spans="1:7" s="9" customFormat="1" x14ac:dyDescent="0.25">
      <c r="A35" s="24" t="s">
        <v>27</v>
      </c>
      <c r="B35" s="7"/>
      <c r="D35" s="7"/>
      <c r="E35" s="7"/>
      <c r="F35" s="23"/>
      <c r="G35" s="22">
        <f>SUM(G33:G34)</f>
        <v>4502315.93</v>
      </c>
    </row>
    <row r="36" spans="1:7" s="9" customFormat="1" x14ac:dyDescent="0.25">
      <c r="A36" s="7"/>
      <c r="B36" s="7"/>
      <c r="D36" s="7"/>
      <c r="E36" s="7"/>
      <c r="F36" s="23"/>
      <c r="G36" s="7"/>
    </row>
    <row r="37" spans="1:7" s="9" customFormat="1" x14ac:dyDescent="0.25">
      <c r="A37" s="24" t="s">
        <v>28</v>
      </c>
      <c r="B37" s="7"/>
      <c r="D37" s="7"/>
      <c r="E37" s="7"/>
      <c r="F37" s="23"/>
      <c r="G37" s="26">
        <f>+G9</f>
        <v>5294520.83</v>
      </c>
    </row>
    <row r="38" spans="1:7" s="9" customFormat="1" x14ac:dyDescent="0.25">
      <c r="A38" s="24"/>
      <c r="B38" s="7"/>
      <c r="D38" s="7"/>
      <c r="E38" s="7"/>
      <c r="F38" s="23"/>
      <c r="G38" s="26"/>
    </row>
    <row r="39" spans="1:7" s="9" customFormat="1" x14ac:dyDescent="0.25">
      <c r="A39" s="27" t="s">
        <v>0</v>
      </c>
      <c r="B39" s="1"/>
      <c r="C39" s="1"/>
      <c r="D39" s="1"/>
      <c r="E39" s="1"/>
      <c r="F39" s="22"/>
      <c r="G39" s="25">
        <f>+G37-G35</f>
        <v>792204.90000000037</v>
      </c>
    </row>
    <row r="40" spans="1:7" s="9" customFormat="1" x14ac:dyDescent="0.25">
      <c r="A40" s="24"/>
      <c r="B40" s="7"/>
      <c r="D40" s="7"/>
      <c r="E40" s="7"/>
      <c r="F40" s="23"/>
      <c r="G40" s="26"/>
    </row>
    <row r="41" spans="1:7" s="9" customFormat="1" x14ac:dyDescent="0.25">
      <c r="A41" s="24" t="s">
        <v>31</v>
      </c>
      <c r="B41" s="26">
        <f>+E12</f>
        <v>0</v>
      </c>
      <c r="D41" s="7"/>
      <c r="E41" s="7"/>
      <c r="F41" s="23"/>
      <c r="G41" s="26"/>
    </row>
    <row r="42" spans="1:7" s="9" customFormat="1" x14ac:dyDescent="0.25">
      <c r="A42" s="24" t="s">
        <v>29</v>
      </c>
      <c r="B42" s="26"/>
      <c r="D42" s="7"/>
      <c r="E42" s="7"/>
      <c r="F42" s="23"/>
      <c r="G42" s="26">
        <f>52104+208417+521043</f>
        <v>781564</v>
      </c>
    </row>
    <row r="43" spans="1:7" s="9" customFormat="1" x14ac:dyDescent="0.25">
      <c r="A43" s="24"/>
      <c r="B43" s="26"/>
      <c r="D43" s="7"/>
      <c r="E43" s="7"/>
      <c r="F43" s="23"/>
      <c r="G43" s="26"/>
    </row>
    <row r="44" spans="1:7" s="9" customFormat="1" x14ac:dyDescent="0.25">
      <c r="A44" s="1" t="s">
        <v>33</v>
      </c>
      <c r="B44" s="25"/>
      <c r="C44" s="1"/>
      <c r="D44" s="1"/>
      <c r="E44" s="1"/>
      <c r="F44" s="22"/>
      <c r="G44" s="25">
        <f>+G39-G42</f>
        <v>10640.900000000373</v>
      </c>
    </row>
    <row r="45" spans="1:7" s="9" customFormat="1" x14ac:dyDescent="0.25">
      <c r="A45" s="24"/>
      <c r="B45" s="26"/>
      <c r="C45" s="26"/>
      <c r="D45" s="7"/>
      <c r="E45" s="7"/>
      <c r="F45" s="23"/>
      <c r="G45" s="23"/>
    </row>
    <row r="46" spans="1:7" s="9" customFormat="1" x14ac:dyDescent="0.25">
      <c r="A46" s="7"/>
      <c r="B46" s="7"/>
      <c r="C46" s="7"/>
      <c r="D46" s="7"/>
      <c r="E46" s="7"/>
      <c r="F46" s="23"/>
      <c r="G46" s="23"/>
    </row>
    <row r="47" spans="1:7" s="9" customFormat="1" x14ac:dyDescent="0.25">
      <c r="A47" s="7"/>
      <c r="B47" s="7"/>
      <c r="C47" s="7"/>
      <c r="D47" s="7"/>
      <c r="E47" s="7"/>
      <c r="F47" s="23"/>
      <c r="G47" s="23"/>
    </row>
    <row r="48" spans="1:7" x14ac:dyDescent="0.25">
      <c r="A48" s="7"/>
      <c r="B48" s="7"/>
      <c r="C48" s="7"/>
      <c r="D48" s="7"/>
      <c r="E48" s="7"/>
      <c r="F48" s="23"/>
      <c r="G48" s="23"/>
    </row>
    <row r="49" spans="1:9" x14ac:dyDescent="0.25">
      <c r="A49" s="2" t="s">
        <v>38</v>
      </c>
      <c r="D49" s="7"/>
      <c r="E49" s="7"/>
      <c r="F49" s="30" t="s">
        <v>18</v>
      </c>
      <c r="G49" s="30" t="s">
        <v>41</v>
      </c>
      <c r="H49" s="2" t="s">
        <v>0</v>
      </c>
      <c r="I49" s="2" t="s">
        <v>42</v>
      </c>
    </row>
    <row r="50" spans="1:9" x14ac:dyDescent="0.25">
      <c r="D50" s="7"/>
      <c r="E50" s="7"/>
      <c r="F50" s="23"/>
      <c r="G50" s="23"/>
    </row>
    <row r="51" spans="1:9" x14ac:dyDescent="0.25">
      <c r="A51" t="s">
        <v>39</v>
      </c>
      <c r="D51" s="7"/>
      <c r="E51" s="7"/>
      <c r="F51" s="23"/>
      <c r="G51" s="23"/>
    </row>
    <row r="52" spans="1:9" x14ac:dyDescent="0.25">
      <c r="A52" t="s">
        <v>40</v>
      </c>
      <c r="D52" s="7"/>
      <c r="E52" s="7"/>
      <c r="F52" s="23"/>
      <c r="G52" s="23"/>
    </row>
    <row r="53" spans="1:9" x14ac:dyDescent="0.25">
      <c r="D53" s="7"/>
      <c r="E53" s="7"/>
      <c r="F53" s="23"/>
      <c r="G53" s="23"/>
    </row>
    <row r="54" spans="1:9" x14ac:dyDescent="0.25">
      <c r="D54" s="7"/>
      <c r="E54" s="7"/>
      <c r="F54" s="23"/>
      <c r="G54" s="23"/>
    </row>
    <row r="55" spans="1:9" x14ac:dyDescent="0.25">
      <c r="D55" s="7"/>
      <c r="E55" s="7"/>
      <c r="F55" s="23"/>
      <c r="G55" s="23"/>
    </row>
    <row r="56" spans="1:9" x14ac:dyDescent="0.25">
      <c r="A56" s="2" t="s">
        <v>43</v>
      </c>
      <c r="D56" s="7"/>
      <c r="E56" s="7"/>
      <c r="F56" s="23"/>
      <c r="G56" s="23"/>
    </row>
    <row r="57" spans="1:9" x14ac:dyDescent="0.25">
      <c r="D57" s="7"/>
      <c r="E57" s="7"/>
      <c r="F57" s="23"/>
      <c r="G57" s="23"/>
    </row>
    <row r="58" spans="1:9" x14ac:dyDescent="0.25">
      <c r="A58" s="2" t="s">
        <v>44</v>
      </c>
      <c r="D58" s="7"/>
      <c r="E58" s="7"/>
      <c r="F58" s="23"/>
      <c r="G58" s="23"/>
    </row>
    <row r="59" spans="1:9" x14ac:dyDescent="0.25">
      <c r="D59" s="7"/>
      <c r="E59" s="7"/>
      <c r="F59" s="23"/>
      <c r="G59" s="23"/>
    </row>
    <row r="60" spans="1:9" x14ac:dyDescent="0.25">
      <c r="A60" s="2" t="s">
        <v>45</v>
      </c>
      <c r="D60" s="7"/>
      <c r="E60" s="7"/>
      <c r="F60" s="23"/>
      <c r="G60" s="23"/>
    </row>
    <row r="62" spans="1:9" x14ac:dyDescent="0.25">
      <c r="A62" s="2" t="s">
        <v>46</v>
      </c>
    </row>
    <row r="63" spans="1:9" s="9" customFormat="1" x14ac:dyDescent="0.25">
      <c r="A63" s="2"/>
    </row>
    <row r="64" spans="1:9" s="9" customFormat="1" x14ac:dyDescent="0.25">
      <c r="A64" s="2" t="s">
        <v>48</v>
      </c>
    </row>
    <row r="65" spans="1:1" s="9" customFormat="1" x14ac:dyDescent="0.25">
      <c r="A65" s="2"/>
    </row>
    <row r="67" spans="1:1" x14ac:dyDescent="0.25">
      <c r="A67" s="2" t="s">
        <v>47</v>
      </c>
    </row>
    <row r="69" spans="1:1" x14ac:dyDescent="0.25">
      <c r="A69" s="2" t="s">
        <v>49</v>
      </c>
    </row>
    <row r="70" spans="1:1" x14ac:dyDescent="0.25">
      <c r="A70" t="s">
        <v>50</v>
      </c>
    </row>
    <row r="72" spans="1:1" x14ac:dyDescent="0.25">
      <c r="A72" s="2" t="s">
        <v>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H38"/>
  <sheetViews>
    <sheetView workbookViewId="0">
      <selection activeCell="H21" sqref="H21"/>
    </sheetView>
  </sheetViews>
  <sheetFormatPr defaultColWidth="11.42578125" defaultRowHeight="15" x14ac:dyDescent="0.25"/>
  <sheetData>
    <row r="1" spans="2:8" s="9" customFormat="1" x14ac:dyDescent="0.25"/>
    <row r="2" spans="2:8" x14ac:dyDescent="0.25">
      <c r="B2" t="s">
        <v>11</v>
      </c>
      <c r="D2">
        <v>1628</v>
      </c>
    </row>
    <row r="3" spans="2:8" s="9" customFormat="1" x14ac:dyDescent="0.25">
      <c r="B3" s="9" t="s">
        <v>13</v>
      </c>
      <c r="D3" s="11">
        <f>+D2/12</f>
        <v>135.66666666666666</v>
      </c>
    </row>
    <row r="4" spans="2:8" s="9" customFormat="1" x14ac:dyDescent="0.25">
      <c r="D4" s="11"/>
    </row>
    <row r="5" spans="2:8" x14ac:dyDescent="0.25">
      <c r="D5" s="16">
        <v>2016</v>
      </c>
      <c r="E5" s="16"/>
      <c r="F5" s="16">
        <v>2017</v>
      </c>
      <c r="G5" s="16"/>
      <c r="H5" s="16" t="s">
        <v>9</v>
      </c>
    </row>
    <row r="6" spans="2:8" x14ac:dyDescent="0.25">
      <c r="B6" s="2" t="s">
        <v>3</v>
      </c>
    </row>
    <row r="7" spans="2:8" x14ac:dyDescent="0.25">
      <c r="B7" t="s">
        <v>10</v>
      </c>
      <c r="D7">
        <v>7</v>
      </c>
      <c r="F7">
        <v>11</v>
      </c>
    </row>
    <row r="8" spans="2:8" x14ac:dyDescent="0.25">
      <c r="B8" t="s">
        <v>12</v>
      </c>
      <c r="D8" s="12">
        <v>0.1</v>
      </c>
      <c r="F8" s="12">
        <v>0.1</v>
      </c>
    </row>
    <row r="9" spans="2:8" x14ac:dyDescent="0.25">
      <c r="B9" s="1" t="s">
        <v>14</v>
      </c>
      <c r="C9" s="1"/>
      <c r="D9" s="13">
        <f>+D8*D7*$D$3</f>
        <v>94.966666666666669</v>
      </c>
      <c r="F9" s="13">
        <f>+F8*F7*$D$3</f>
        <v>149.23333333333335</v>
      </c>
      <c r="H9" s="13">
        <f>+F9+D9</f>
        <v>244.20000000000002</v>
      </c>
    </row>
    <row r="13" spans="2:8" x14ac:dyDescent="0.25">
      <c r="B13" s="2" t="s">
        <v>4</v>
      </c>
      <c r="C13" s="9"/>
      <c r="D13" s="9"/>
      <c r="E13" s="9"/>
      <c r="F13" s="9"/>
      <c r="G13" s="9"/>
      <c r="H13" s="9"/>
    </row>
    <row r="14" spans="2:8" x14ac:dyDescent="0.25">
      <c r="B14" s="9" t="s">
        <v>10</v>
      </c>
      <c r="C14" s="9"/>
      <c r="D14" s="9">
        <v>7</v>
      </c>
      <c r="E14" s="9"/>
      <c r="F14" s="9">
        <v>1</v>
      </c>
      <c r="G14" s="9"/>
      <c r="H14" s="9"/>
    </row>
    <row r="15" spans="2:8" x14ac:dyDescent="0.25">
      <c r="B15" s="9" t="s">
        <v>12</v>
      </c>
      <c r="C15" s="9"/>
      <c r="D15" s="12">
        <v>0.1</v>
      </c>
      <c r="E15" s="9"/>
      <c r="F15" s="12">
        <v>0.1</v>
      </c>
      <c r="G15" s="9"/>
      <c r="H15" s="9"/>
    </row>
    <row r="16" spans="2:8" x14ac:dyDescent="0.25">
      <c r="B16" s="1" t="s">
        <v>14</v>
      </c>
      <c r="C16" s="1"/>
      <c r="D16" s="13">
        <f>+D15*D14*$D$3</f>
        <v>94.966666666666669</v>
      </c>
      <c r="E16" s="9"/>
      <c r="F16" s="13">
        <f>+F15*F14*$D$3</f>
        <v>13.566666666666666</v>
      </c>
      <c r="G16" s="9"/>
      <c r="H16" s="13">
        <f>+F16+D16</f>
        <v>108.53333333333333</v>
      </c>
    </row>
    <row r="18" spans="2:8" x14ac:dyDescent="0.25">
      <c r="B18" t="s">
        <v>16</v>
      </c>
      <c r="F18" s="9">
        <v>10</v>
      </c>
    </row>
    <row r="19" spans="2:8" x14ac:dyDescent="0.25">
      <c r="F19" s="12">
        <v>0.2</v>
      </c>
    </row>
    <row r="20" spans="2:8" x14ac:dyDescent="0.25">
      <c r="F20" s="13">
        <f>+F19*F18*$D$3</f>
        <v>271.33333333333331</v>
      </c>
      <c r="H20" s="11">
        <f>+F20</f>
        <v>271.33333333333331</v>
      </c>
    </row>
    <row r="21" spans="2:8" ht="15.75" thickBot="1" x14ac:dyDescent="0.3">
      <c r="F21" s="19">
        <f>+F20+F16</f>
        <v>284.89999999999998</v>
      </c>
      <c r="H21" s="19">
        <f>+H20+H16</f>
        <v>379.86666666666667</v>
      </c>
    </row>
    <row r="22" spans="2:8" ht="15.75" thickTop="1" x14ac:dyDescent="0.25"/>
    <row r="23" spans="2:8" x14ac:dyDescent="0.25">
      <c r="B23" s="2" t="s">
        <v>15</v>
      </c>
      <c r="C23" s="9"/>
      <c r="D23" s="9"/>
      <c r="E23" s="9"/>
      <c r="F23" s="9"/>
      <c r="G23" s="9"/>
      <c r="H23" s="9"/>
    </row>
    <row r="24" spans="2:8" x14ac:dyDescent="0.25">
      <c r="B24" s="9" t="s">
        <v>10</v>
      </c>
      <c r="C24" s="9"/>
      <c r="D24" s="9">
        <v>7</v>
      </c>
      <c r="E24" s="9"/>
      <c r="F24" s="9">
        <v>11</v>
      </c>
      <c r="G24" s="9"/>
      <c r="H24" s="9"/>
    </row>
    <row r="25" spans="2:8" x14ac:dyDescent="0.25">
      <c r="B25" s="9" t="s">
        <v>12</v>
      </c>
      <c r="C25" s="9"/>
      <c r="D25" s="12">
        <v>0.1</v>
      </c>
      <c r="E25" s="9"/>
      <c r="F25" s="12">
        <v>0.1</v>
      </c>
      <c r="G25" s="9"/>
      <c r="H25" s="9"/>
    </row>
    <row r="26" spans="2:8" x14ac:dyDescent="0.25">
      <c r="B26" s="1" t="s">
        <v>14</v>
      </c>
      <c r="C26" s="1"/>
      <c r="D26" s="13">
        <f>+D25*D24*$D$3</f>
        <v>94.966666666666669</v>
      </c>
      <c r="E26" s="9"/>
      <c r="F26" s="13">
        <f>+F25*F24*$D$3</f>
        <v>149.23333333333335</v>
      </c>
      <c r="G26" s="9"/>
      <c r="H26" s="13">
        <f>+F26+D26</f>
        <v>244.20000000000002</v>
      </c>
    </row>
    <row r="29" spans="2:8" x14ac:dyDescent="0.25">
      <c r="B29" s="6" t="s">
        <v>5</v>
      </c>
    </row>
    <row r="30" spans="2:8" x14ac:dyDescent="0.25">
      <c r="B30" s="9" t="s">
        <v>10</v>
      </c>
      <c r="C30" s="9"/>
      <c r="D30" s="9">
        <v>7</v>
      </c>
      <c r="E30" s="9"/>
      <c r="F30" s="9">
        <v>1</v>
      </c>
      <c r="G30" s="9"/>
      <c r="H30" s="9"/>
    </row>
    <row r="31" spans="2:8" x14ac:dyDescent="0.25">
      <c r="B31" s="9" t="s">
        <v>12</v>
      </c>
      <c r="C31" s="9"/>
      <c r="D31" s="12">
        <v>0.1</v>
      </c>
      <c r="E31" s="9"/>
      <c r="F31" s="12">
        <v>0.1</v>
      </c>
      <c r="G31" s="9"/>
      <c r="H31" s="9"/>
    </row>
    <row r="32" spans="2:8" x14ac:dyDescent="0.25">
      <c r="B32" s="1" t="s">
        <v>14</v>
      </c>
      <c r="C32" s="1"/>
      <c r="D32" s="13">
        <f>+D31*D30*$D$3</f>
        <v>94.966666666666669</v>
      </c>
      <c r="E32" s="9"/>
      <c r="F32" s="13">
        <f>+F31*F30*$D$3</f>
        <v>13.566666666666666</v>
      </c>
      <c r="G32" s="9"/>
      <c r="H32" s="13">
        <f>+F32+D32</f>
        <v>108.53333333333333</v>
      </c>
    </row>
    <row r="34" spans="2:8" x14ac:dyDescent="0.25">
      <c r="B34" t="s">
        <v>16</v>
      </c>
      <c r="F34">
        <v>10</v>
      </c>
    </row>
    <row r="35" spans="2:8" x14ac:dyDescent="0.25">
      <c r="F35" s="12">
        <v>0.2</v>
      </c>
    </row>
    <row r="36" spans="2:8" x14ac:dyDescent="0.25">
      <c r="F36" s="13">
        <f>+F35*F34*$D$3</f>
        <v>271.33333333333331</v>
      </c>
      <c r="H36" s="11">
        <f>+F36</f>
        <v>271.33333333333331</v>
      </c>
    </row>
    <row r="37" spans="2:8" ht="15.75" thickBot="1" x14ac:dyDescent="0.3">
      <c r="F37" s="19">
        <f>+F36+F32</f>
        <v>284.89999999999998</v>
      </c>
      <c r="H37" s="19">
        <f>+H36+H32</f>
        <v>379.86666666666667</v>
      </c>
    </row>
    <row r="38" spans="2:8" ht="15.75" thickTop="1"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R28"/>
  <sheetViews>
    <sheetView tabSelected="1" topLeftCell="A7" zoomScale="70" zoomScaleNormal="70" workbookViewId="0">
      <selection activeCell="H15" sqref="H15:H16"/>
    </sheetView>
  </sheetViews>
  <sheetFormatPr defaultColWidth="11.42578125" defaultRowHeight="15" x14ac:dyDescent="0.25"/>
  <cols>
    <col min="1" max="1" width="15.28515625" style="9" bestFit="1" customWidth="1"/>
    <col min="2" max="2" width="2.7109375" style="9" customWidth="1"/>
    <col min="3" max="4" width="23.85546875" style="9" customWidth="1"/>
    <col min="5" max="5" width="29.85546875" style="9" customWidth="1"/>
    <col min="6" max="6" width="27" style="9" customWidth="1"/>
    <col min="7" max="8" width="22" style="9" customWidth="1"/>
    <col min="9" max="9" width="21" style="9" customWidth="1"/>
    <col min="10" max="10" width="10.140625" style="9" customWidth="1"/>
    <col min="11" max="11" width="11.42578125" style="9"/>
    <col min="12" max="13" width="0" style="9" hidden="1" customWidth="1"/>
    <col min="14" max="14" width="16.140625" style="9" hidden="1" customWidth="1"/>
    <col min="15" max="17" width="0" style="9" hidden="1" customWidth="1"/>
    <col min="18" max="16384" width="11.42578125" style="9"/>
  </cols>
  <sheetData>
    <row r="1" spans="1:18" x14ac:dyDescent="0.25">
      <c r="C1" s="139" t="s">
        <v>84</v>
      </c>
      <c r="D1" s="140"/>
      <c r="E1" s="125" t="s">
        <v>81</v>
      </c>
      <c r="F1" s="126"/>
      <c r="G1" s="126"/>
      <c r="H1" s="101"/>
    </row>
    <row r="2" spans="1:18" ht="15.75" thickBot="1" x14ac:dyDescent="0.3">
      <c r="C2" s="141"/>
      <c r="D2" s="142"/>
      <c r="E2" s="127"/>
      <c r="F2" s="128"/>
      <c r="G2" s="128"/>
      <c r="H2" s="102"/>
    </row>
    <row r="3" spans="1:18" ht="15.75" thickBot="1" x14ac:dyDescent="0.3">
      <c r="C3" s="139" t="s">
        <v>82</v>
      </c>
      <c r="D3" s="140"/>
    </row>
    <row r="4" spans="1:18" ht="15.75" thickBot="1" x14ac:dyDescent="0.3">
      <c r="C4" s="141"/>
      <c r="D4" s="142"/>
      <c r="F4" s="33" t="s">
        <v>68</v>
      </c>
      <c r="G4" s="34"/>
      <c r="H4" s="34"/>
      <c r="I4" s="35">
        <v>1720</v>
      </c>
    </row>
    <row r="5" spans="1:18" ht="15.75" thickBot="1" x14ac:dyDescent="0.3">
      <c r="F5" s="39" t="s">
        <v>69</v>
      </c>
      <c r="G5" s="10"/>
      <c r="H5" s="10"/>
      <c r="I5" s="55">
        <f>I4/12</f>
        <v>143.33333333333334</v>
      </c>
      <c r="L5" s="9">
        <v>1</v>
      </c>
    </row>
    <row r="6" spans="1:18" x14ac:dyDescent="0.25">
      <c r="F6" s="75" t="s">
        <v>80</v>
      </c>
      <c r="G6" s="7"/>
      <c r="H6" s="7"/>
      <c r="L6" s="9">
        <v>2</v>
      </c>
    </row>
    <row r="7" spans="1:18" ht="15.75" thickBot="1" x14ac:dyDescent="0.3">
      <c r="F7" s="7"/>
      <c r="G7" s="7"/>
      <c r="H7" s="7"/>
      <c r="L7" s="9">
        <v>3</v>
      </c>
    </row>
    <row r="8" spans="1:18" ht="45.75" customHeight="1" thickBot="1" x14ac:dyDescent="0.3">
      <c r="A8" s="129" t="s">
        <v>88</v>
      </c>
      <c r="B8" s="132"/>
      <c r="C8" s="135" t="s">
        <v>90</v>
      </c>
      <c r="D8" s="135" t="s">
        <v>83</v>
      </c>
      <c r="E8" s="90" t="s">
        <v>70</v>
      </c>
      <c r="F8" s="137" t="s">
        <v>91</v>
      </c>
      <c r="G8" s="135" t="s">
        <v>72</v>
      </c>
      <c r="H8" s="135" t="s">
        <v>77</v>
      </c>
      <c r="J8" s="107"/>
      <c r="K8" s="107"/>
      <c r="L8" s="112" t="s">
        <v>109</v>
      </c>
      <c r="M8" s="113"/>
      <c r="N8" s="113"/>
      <c r="O8" s="114"/>
      <c r="P8" s="107"/>
      <c r="Q8" s="107"/>
      <c r="R8" s="107"/>
    </row>
    <row r="9" spans="1:18" ht="30.75" customHeight="1" thickBot="1" x14ac:dyDescent="0.3">
      <c r="A9" s="130"/>
      <c r="B9" s="133"/>
      <c r="C9" s="136"/>
      <c r="D9" s="136"/>
      <c r="E9" s="49" t="s">
        <v>64</v>
      </c>
      <c r="F9" s="138"/>
      <c r="G9" s="136"/>
      <c r="H9" s="136"/>
      <c r="J9" s="107"/>
      <c r="K9" s="107"/>
      <c r="L9" s="108" t="s">
        <v>106</v>
      </c>
      <c r="M9" s="108" t="s">
        <v>107</v>
      </c>
      <c r="N9" s="108" t="s">
        <v>108</v>
      </c>
      <c r="O9" s="108" t="s">
        <v>105</v>
      </c>
      <c r="P9" s="107"/>
      <c r="Q9" s="107"/>
      <c r="R9" s="107"/>
    </row>
    <row r="10" spans="1:18" x14ac:dyDescent="0.25">
      <c r="A10" s="130"/>
      <c r="B10" s="133"/>
      <c r="C10" s="99"/>
      <c r="D10" s="99"/>
      <c r="E10" s="99"/>
      <c r="F10" s="99"/>
      <c r="G10" s="54">
        <f>IFERROR(I$5*E10*F10,"")/100</f>
        <v>0</v>
      </c>
      <c r="H10" s="54">
        <f>IFERROR(D10/G10,0)</f>
        <v>0</v>
      </c>
      <c r="J10" s="107"/>
      <c r="K10" s="107"/>
      <c r="L10" s="109" t="s">
        <v>93</v>
      </c>
      <c r="M10" s="110">
        <v>0.5</v>
      </c>
      <c r="N10" s="110">
        <v>0.5</v>
      </c>
      <c r="O10" s="111">
        <f>$I$5*M10-($I$5*M10*N10)</f>
        <v>35.833333333333336</v>
      </c>
      <c r="P10" s="107"/>
      <c r="Q10" s="107"/>
      <c r="R10" s="107"/>
    </row>
    <row r="11" spans="1:18" x14ac:dyDescent="0.25">
      <c r="A11" s="130"/>
      <c r="B11" s="133"/>
      <c r="C11" s="99"/>
      <c r="D11" s="99"/>
      <c r="E11" s="99"/>
      <c r="F11" s="99"/>
      <c r="G11" s="54">
        <f>IFERROR(I$5*E11*F11,"")/100</f>
        <v>0</v>
      </c>
      <c r="H11" s="54">
        <f>IFERROR(D11/G11,0)</f>
        <v>0</v>
      </c>
      <c r="J11" s="107"/>
      <c r="K11" s="107"/>
      <c r="L11" s="109" t="s">
        <v>94</v>
      </c>
      <c r="M11" s="110">
        <v>0.5</v>
      </c>
      <c r="N11" s="110">
        <v>0.5</v>
      </c>
      <c r="O11" s="111">
        <f t="shared" ref="O11:P23" si="0">$I$5*M11-($I$5*M11*N11)</f>
        <v>35.833333333333336</v>
      </c>
      <c r="P11" s="107"/>
      <c r="Q11" s="107"/>
      <c r="R11" s="107"/>
    </row>
    <row r="12" spans="1:18" ht="15.75" thickBot="1" x14ac:dyDescent="0.3">
      <c r="A12" s="131"/>
      <c r="B12" s="134"/>
      <c r="C12" s="99"/>
      <c r="D12" s="99"/>
      <c r="E12" s="99"/>
      <c r="F12" s="99"/>
      <c r="G12" s="54">
        <f>IFERROR(I$5*E12*F12,"")/100</f>
        <v>0</v>
      </c>
      <c r="H12" s="54">
        <f t="shared" ref="H12" si="1">IFERROR(D12/G12,0)</f>
        <v>0</v>
      </c>
      <c r="J12" s="107"/>
      <c r="K12" s="107"/>
      <c r="L12" s="109" t="s">
        <v>95</v>
      </c>
      <c r="M12" s="110">
        <v>0.5</v>
      </c>
      <c r="N12" s="110">
        <v>0.5</v>
      </c>
      <c r="O12" s="111">
        <f t="shared" si="0"/>
        <v>35.833333333333336</v>
      </c>
      <c r="P12" s="107"/>
      <c r="Q12" s="107"/>
      <c r="R12" s="107"/>
    </row>
    <row r="13" spans="1:18" ht="15.75" thickBot="1" x14ac:dyDescent="0.3">
      <c r="A13" s="10"/>
      <c r="B13" s="10"/>
      <c r="C13" s="10"/>
      <c r="D13" s="10"/>
      <c r="E13" s="10"/>
      <c r="F13" s="10"/>
      <c r="G13" s="10"/>
      <c r="H13" s="10"/>
      <c r="I13" s="10"/>
      <c r="M13" s="31" t="s">
        <v>96</v>
      </c>
      <c r="N13" s="93">
        <v>0.5</v>
      </c>
      <c r="O13" s="93">
        <v>0.5</v>
      </c>
      <c r="P13" s="43">
        <f t="shared" si="0"/>
        <v>35.833333333333336</v>
      </c>
    </row>
    <row r="14" spans="1:18" ht="15.75" thickBot="1" x14ac:dyDescent="0.3">
      <c r="M14" s="31" t="s">
        <v>97</v>
      </c>
      <c r="N14" s="93">
        <v>0.5</v>
      </c>
      <c r="O14" s="93">
        <v>1</v>
      </c>
      <c r="P14" s="43">
        <f t="shared" si="0"/>
        <v>0</v>
      </c>
    </row>
    <row r="15" spans="1:18" ht="15" customHeight="1" x14ac:dyDescent="0.25">
      <c r="A15" s="129" t="s">
        <v>87</v>
      </c>
      <c r="C15" s="135" t="s">
        <v>119</v>
      </c>
      <c r="D15" s="145" t="s">
        <v>74</v>
      </c>
      <c r="E15" s="135" t="s">
        <v>118</v>
      </c>
      <c r="F15" s="137" t="s">
        <v>115</v>
      </c>
      <c r="G15" s="137" t="s">
        <v>67</v>
      </c>
      <c r="H15" s="143" t="s">
        <v>116</v>
      </c>
      <c r="M15" s="31" t="s">
        <v>98</v>
      </c>
      <c r="N15" s="93">
        <v>0.5</v>
      </c>
      <c r="O15" s="93">
        <v>1</v>
      </c>
      <c r="P15" s="43">
        <f t="shared" si="0"/>
        <v>0</v>
      </c>
    </row>
    <row r="16" spans="1:18" ht="15.75" thickBot="1" x14ac:dyDescent="0.3">
      <c r="A16" s="130"/>
      <c r="C16" s="136"/>
      <c r="D16" s="146"/>
      <c r="E16" s="136"/>
      <c r="F16" s="138"/>
      <c r="G16" s="138"/>
      <c r="H16" s="144"/>
      <c r="M16" s="31" t="s">
        <v>99</v>
      </c>
      <c r="N16" s="93">
        <v>1</v>
      </c>
      <c r="O16" s="93">
        <v>1</v>
      </c>
      <c r="P16" s="43">
        <f t="shared" si="0"/>
        <v>0</v>
      </c>
    </row>
    <row r="17" spans="1:17" x14ac:dyDescent="0.25">
      <c r="A17" s="130"/>
      <c r="C17" s="99"/>
      <c r="D17" s="99"/>
      <c r="E17" s="99"/>
      <c r="F17" s="53">
        <f>IFERROR(IF((D17*H10)&gt;(E17),(E17),D17*H10),"")</f>
        <v>0</v>
      </c>
      <c r="G17" s="99"/>
      <c r="H17" s="53" t="str">
        <f>IFERROR(F17/G17,"")</f>
        <v/>
      </c>
      <c r="M17" s="31" t="s">
        <v>100</v>
      </c>
      <c r="N17" s="93">
        <v>1</v>
      </c>
      <c r="O17" s="93">
        <v>1</v>
      </c>
      <c r="P17" s="43">
        <f t="shared" si="0"/>
        <v>0</v>
      </c>
    </row>
    <row r="18" spans="1:17" x14ac:dyDescent="0.25">
      <c r="A18" s="130"/>
      <c r="C18" s="99"/>
      <c r="D18" s="99"/>
      <c r="E18" s="99"/>
      <c r="F18" s="53">
        <f>IFERROR(IF((D18*H11)&gt;(E18),(E18),D18*H11),"")</f>
        <v>0</v>
      </c>
      <c r="G18" s="99"/>
      <c r="H18" s="53" t="str">
        <f>IFERROR(F18/G18,"")</f>
        <v/>
      </c>
      <c r="M18" s="31" t="s">
        <v>101</v>
      </c>
      <c r="N18" s="93">
        <v>1</v>
      </c>
      <c r="O18" s="93">
        <v>1</v>
      </c>
      <c r="P18" s="43">
        <f t="shared" si="0"/>
        <v>0</v>
      </c>
    </row>
    <row r="19" spans="1:17" ht="15.75" thickBot="1" x14ac:dyDescent="0.3">
      <c r="A19" s="131"/>
      <c r="C19" s="99"/>
      <c r="D19" s="99"/>
      <c r="E19" s="99"/>
      <c r="F19" s="53">
        <f>IFERROR(IF((D19*H12)&gt;(E19),(E19),D19*H12),"")</f>
        <v>0</v>
      </c>
      <c r="G19" s="99"/>
      <c r="H19" s="53" t="str">
        <f>IFERROR(F19/G19,"")</f>
        <v/>
      </c>
      <c r="M19" s="31" t="s">
        <v>102</v>
      </c>
      <c r="N19" s="93">
        <v>1</v>
      </c>
      <c r="O19" s="93">
        <v>1</v>
      </c>
      <c r="P19" s="43">
        <f t="shared" si="0"/>
        <v>0</v>
      </c>
    </row>
    <row r="20" spans="1:17" x14ac:dyDescent="0.25">
      <c r="M20" s="31" t="s">
        <v>103</v>
      </c>
      <c r="N20" s="93">
        <v>1</v>
      </c>
      <c r="O20" s="93">
        <v>1</v>
      </c>
      <c r="P20" s="43">
        <f t="shared" si="0"/>
        <v>0</v>
      </c>
    </row>
    <row r="21" spans="1:17" x14ac:dyDescent="0.25">
      <c r="A21" s="121" t="s">
        <v>120</v>
      </c>
      <c r="B21" s="122"/>
      <c r="C21" s="115"/>
      <c r="D21" s="116"/>
      <c r="E21" s="116"/>
      <c r="F21" s="116"/>
      <c r="G21" s="116"/>
      <c r="H21" s="117"/>
      <c r="M21" s="31"/>
      <c r="N21" s="93"/>
      <c r="O21" s="93"/>
      <c r="P21" s="43"/>
    </row>
    <row r="22" spans="1:17" x14ac:dyDescent="0.25">
      <c r="A22" s="123"/>
      <c r="B22" s="124"/>
      <c r="C22" s="118"/>
      <c r="D22" s="119"/>
      <c r="E22" s="119"/>
      <c r="F22" s="119"/>
      <c r="G22" s="119"/>
      <c r="H22" s="120"/>
      <c r="M22" s="31"/>
      <c r="N22" s="93"/>
      <c r="O22" s="93"/>
      <c r="P22" s="43"/>
    </row>
    <row r="23" spans="1:17" ht="15.75" customHeight="1" x14ac:dyDescent="0.25">
      <c r="M23" s="31" t="s">
        <v>104</v>
      </c>
      <c r="N23" s="93">
        <v>1</v>
      </c>
      <c r="O23" s="93">
        <v>1</v>
      </c>
      <c r="P23" s="43">
        <f t="shared" si="0"/>
        <v>0</v>
      </c>
    </row>
    <row r="24" spans="1:17" x14ac:dyDescent="0.25">
      <c r="P24" s="91">
        <f>SUM(P10:P23)</f>
        <v>35.833333333333336</v>
      </c>
      <c r="Q24" s="9" t="s">
        <v>32</v>
      </c>
    </row>
    <row r="25" spans="1:17" x14ac:dyDescent="0.25">
      <c r="E25" s="4"/>
    </row>
    <row r="28" spans="1:17" ht="15" customHeight="1" x14ac:dyDescent="0.25"/>
  </sheetData>
  <sheetProtection algorithmName="SHA-512" hashValue="vyGs/eUWd6jOQWHhiL7i6X0zmpSusOR293TbtPFodcFV+BX8gjiw9bQt+79K4V+3SYWa/oXGJbNIBva93WJluw==" saltValue="DTYpQ5SS4OasrF3QE7sKMg==" spinCount="100000" sheet="1" objects="1" scenarios="1"/>
  <mergeCells count="21">
    <mergeCell ref="C15:C16"/>
    <mergeCell ref="D15:D16"/>
    <mergeCell ref="E15:E16"/>
    <mergeCell ref="F15:F16"/>
    <mergeCell ref="G15:G16"/>
    <mergeCell ref="C21:H22"/>
    <mergeCell ref="A21:B22"/>
    <mergeCell ref="E1:G2"/>
    <mergeCell ref="A8:A12"/>
    <mergeCell ref="B8:B12"/>
    <mergeCell ref="C8:C9"/>
    <mergeCell ref="D8:D9"/>
    <mergeCell ref="F8:F9"/>
    <mergeCell ref="C1:D1"/>
    <mergeCell ref="C2:D2"/>
    <mergeCell ref="C3:D3"/>
    <mergeCell ref="C4:D4"/>
    <mergeCell ref="H15:H16"/>
    <mergeCell ref="G8:G9"/>
    <mergeCell ref="H8:H9"/>
    <mergeCell ref="A15:A19"/>
  </mergeCells>
  <hyperlinks>
    <hyperlink ref="F6" r:id="rId1"/>
  </hyperlinks>
  <pageMargins left="0.7" right="0.7" top="0.75" bottom="0.75" header="0.3" footer="0.3"/>
  <pageSetup paperSize="9" scale="71" fitToHeight="0" orientation="landscape"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AF30"/>
  <sheetViews>
    <sheetView zoomScale="85" zoomScaleNormal="85" workbookViewId="0">
      <selection activeCell="G46" sqref="G46"/>
    </sheetView>
  </sheetViews>
  <sheetFormatPr defaultColWidth="11.42578125" defaultRowHeight="15" x14ac:dyDescent="0.25"/>
  <cols>
    <col min="1" max="1" width="10.7109375" style="9" customWidth="1"/>
    <col min="2" max="2" width="22.140625" style="9" hidden="1" customWidth="1"/>
    <col min="3" max="3" width="9" style="9" hidden="1" customWidth="1"/>
    <col min="4" max="4" width="14.5703125" style="9" hidden="1" customWidth="1"/>
    <col min="5" max="5" width="23.85546875" style="9" customWidth="1"/>
    <col min="6" max="6" width="28.28515625" style="9" customWidth="1"/>
    <col min="7" max="7" width="15.42578125" style="9" customWidth="1"/>
    <col min="8" max="8" width="22" style="9" customWidth="1"/>
    <col min="9" max="10" width="14.5703125" style="9" hidden="1" customWidth="1"/>
    <col min="11" max="11" width="11.42578125" style="9"/>
    <col min="12" max="12" width="10.140625" style="9" customWidth="1"/>
    <col min="13" max="14" width="11.42578125" style="9"/>
    <col min="15" max="15" width="12.7109375" style="9" customWidth="1"/>
    <col min="16" max="16" width="20.140625" style="9" customWidth="1"/>
    <col min="17" max="17" width="14" style="9" customWidth="1"/>
    <col min="18" max="18" width="14.42578125" style="9" hidden="1" customWidth="1"/>
    <col min="19" max="19" width="14.85546875" style="9" hidden="1" customWidth="1"/>
    <col min="20" max="20" width="14.5703125" style="9" hidden="1" customWidth="1"/>
    <col min="21" max="24" width="0" style="9" hidden="1" customWidth="1"/>
    <col min="25" max="25" width="12.140625" style="9" hidden="1" customWidth="1"/>
    <col min="26" max="26" width="13.28515625" style="9" hidden="1" customWidth="1"/>
    <col min="27" max="27" width="12.140625" style="9" customWidth="1"/>
    <col min="28" max="28" width="14" style="9" hidden="1" customWidth="1"/>
    <col min="29" max="29" width="15.85546875" style="9" hidden="1" customWidth="1"/>
    <col min="30" max="31" width="11.42578125" style="9"/>
    <col min="32" max="32" width="0" style="9" hidden="1" customWidth="1"/>
    <col min="33" max="16384" width="11.42578125" style="9"/>
  </cols>
  <sheetData>
    <row r="1" spans="2:32" x14ac:dyDescent="0.25">
      <c r="E1" s="77" t="s">
        <v>84</v>
      </c>
      <c r="F1" s="125" t="s">
        <v>81</v>
      </c>
      <c r="G1" s="126"/>
      <c r="H1" s="126"/>
      <c r="I1" s="155"/>
    </row>
    <row r="2" spans="2:32" ht="15.75" thickBot="1" x14ac:dyDescent="0.3">
      <c r="E2" s="80"/>
      <c r="F2" s="127"/>
      <c r="G2" s="128"/>
      <c r="H2" s="128"/>
      <c r="I2" s="156"/>
    </row>
    <row r="3" spans="2:32" ht="15.75" thickBot="1" x14ac:dyDescent="0.3">
      <c r="E3" s="77" t="s">
        <v>82</v>
      </c>
    </row>
    <row r="4" spans="2:32" ht="15.75" thickBot="1" x14ac:dyDescent="0.3">
      <c r="E4" s="80">
        <v>1</v>
      </c>
      <c r="G4" s="33" t="s">
        <v>68</v>
      </c>
      <c r="H4" s="34"/>
      <c r="I4" s="35">
        <v>1720</v>
      </c>
    </row>
    <row r="5" spans="2:32" ht="15.75" thickBot="1" x14ac:dyDescent="0.3">
      <c r="G5" s="39" t="s">
        <v>69</v>
      </c>
      <c r="H5" s="10"/>
      <c r="I5" s="55">
        <f>I4/12</f>
        <v>143.33333333333334</v>
      </c>
      <c r="AF5" s="9">
        <v>1</v>
      </c>
    </row>
    <row r="6" spans="2:32" x14ac:dyDescent="0.25">
      <c r="G6" s="75" t="s">
        <v>80</v>
      </c>
      <c r="H6" s="7"/>
      <c r="I6" s="75"/>
      <c r="AF6" s="9">
        <v>2</v>
      </c>
    </row>
    <row r="7" spans="2:32" ht="15.75" thickBot="1" x14ac:dyDescent="0.3">
      <c r="G7" s="7"/>
      <c r="H7" s="7"/>
      <c r="I7" s="58"/>
      <c r="AF7" s="9">
        <v>3</v>
      </c>
    </row>
    <row r="8" spans="2:32" ht="15.75" thickBot="1" x14ac:dyDescent="0.3">
      <c r="B8" s="5"/>
      <c r="C8" s="5"/>
      <c r="D8" s="5"/>
      <c r="E8" s="5"/>
      <c r="F8" s="5"/>
      <c r="G8" s="151" t="s">
        <v>63</v>
      </c>
      <c r="H8" s="152"/>
      <c r="I8" s="152"/>
      <c r="J8" s="152"/>
      <c r="K8" s="157"/>
      <c r="L8" s="151" t="s">
        <v>7</v>
      </c>
      <c r="M8" s="152"/>
      <c r="N8" s="153"/>
      <c r="P8" s="151" t="s">
        <v>75</v>
      </c>
      <c r="Q8" s="152"/>
      <c r="R8" s="152"/>
      <c r="S8" s="152"/>
      <c r="T8" s="152"/>
      <c r="U8" s="152"/>
      <c r="V8" s="152"/>
      <c r="W8" s="152"/>
      <c r="X8" s="152"/>
      <c r="Y8" s="152"/>
      <c r="Z8" s="152"/>
      <c r="AA8" s="153"/>
      <c r="AF8" s="9">
        <v>4</v>
      </c>
    </row>
    <row r="9" spans="2:32" ht="45.75" customHeight="1" thickBot="1" x14ac:dyDescent="0.3">
      <c r="B9" s="147" t="s">
        <v>65</v>
      </c>
      <c r="C9" s="44"/>
      <c r="D9" s="45">
        <v>2016</v>
      </c>
      <c r="E9" s="135" t="s">
        <v>85</v>
      </c>
      <c r="F9" s="135" t="s">
        <v>83</v>
      </c>
      <c r="G9" s="149" t="s">
        <v>70</v>
      </c>
      <c r="H9" s="150"/>
      <c r="I9" s="158" t="s">
        <v>71</v>
      </c>
      <c r="J9" s="159"/>
      <c r="K9" s="160" t="s">
        <v>72</v>
      </c>
      <c r="L9" s="162" t="s">
        <v>77</v>
      </c>
      <c r="M9" s="137" t="s">
        <v>67</v>
      </c>
      <c r="N9" s="143" t="s">
        <v>78</v>
      </c>
      <c r="O9" s="143" t="s">
        <v>74</v>
      </c>
      <c r="P9" s="135" t="s">
        <v>86</v>
      </c>
      <c r="Q9" s="137" t="s">
        <v>73</v>
      </c>
      <c r="R9" s="46" t="s">
        <v>8</v>
      </c>
      <c r="S9" s="46" t="s">
        <v>8</v>
      </c>
      <c r="T9" s="46" t="s">
        <v>8</v>
      </c>
      <c r="U9" s="46" t="s">
        <v>8</v>
      </c>
      <c r="V9" s="46" t="s">
        <v>8</v>
      </c>
      <c r="W9" s="46" t="s">
        <v>8</v>
      </c>
      <c r="X9" s="46" t="s">
        <v>8</v>
      </c>
      <c r="Y9" s="46" t="s">
        <v>8</v>
      </c>
      <c r="Z9" s="46" t="s">
        <v>8</v>
      </c>
      <c r="AA9" s="143" t="s">
        <v>79</v>
      </c>
      <c r="AB9" s="143" t="s">
        <v>76</v>
      </c>
      <c r="AC9" s="137" t="s">
        <v>0</v>
      </c>
      <c r="AF9" s="9">
        <v>5</v>
      </c>
    </row>
    <row r="10" spans="2:32" ht="15.75" thickBot="1" x14ac:dyDescent="0.3">
      <c r="B10" s="148"/>
      <c r="C10" s="47"/>
      <c r="D10" s="47" t="s">
        <v>6</v>
      </c>
      <c r="E10" s="136"/>
      <c r="F10" s="136"/>
      <c r="G10" s="49" t="s">
        <v>64</v>
      </c>
      <c r="H10" s="50" t="s">
        <v>61</v>
      </c>
      <c r="I10" s="51" t="s">
        <v>64</v>
      </c>
      <c r="J10" s="73" t="s">
        <v>61</v>
      </c>
      <c r="K10" s="161"/>
      <c r="L10" s="163"/>
      <c r="M10" s="138"/>
      <c r="N10" s="144" t="s">
        <v>1</v>
      </c>
      <c r="O10" s="144"/>
      <c r="P10" s="136"/>
      <c r="Q10" s="138"/>
      <c r="R10" s="48" t="s">
        <v>2</v>
      </c>
      <c r="S10" s="48" t="s">
        <v>2</v>
      </c>
      <c r="T10" s="48" t="s">
        <v>2</v>
      </c>
      <c r="U10" s="48" t="s">
        <v>2</v>
      </c>
      <c r="V10" s="48" t="s">
        <v>2</v>
      </c>
      <c r="W10" s="48" t="s">
        <v>2</v>
      </c>
      <c r="X10" s="48" t="s">
        <v>2</v>
      </c>
      <c r="Y10" s="48" t="s">
        <v>2</v>
      </c>
      <c r="Z10" s="48" t="s">
        <v>2</v>
      </c>
      <c r="AA10" s="144" t="s">
        <v>62</v>
      </c>
      <c r="AB10" s="144"/>
      <c r="AC10" s="138"/>
    </row>
    <row r="11" spans="2:32" x14ac:dyDescent="0.25">
      <c r="B11" s="52" t="s">
        <v>4</v>
      </c>
      <c r="C11" s="31">
        <v>10</v>
      </c>
      <c r="D11" s="41">
        <v>37371.17</v>
      </c>
      <c r="E11" s="78">
        <v>2017</v>
      </c>
      <c r="F11" s="61">
        <v>1000000</v>
      </c>
      <c r="G11" s="62">
        <v>1</v>
      </c>
      <c r="H11" s="63">
        <v>12</v>
      </c>
      <c r="I11" s="62"/>
      <c r="J11" s="63"/>
      <c r="K11" s="54">
        <f>IFERROR(H11*$I$5*G11+I11*$I$5*J11,"")</f>
        <v>1720</v>
      </c>
      <c r="L11" s="70">
        <f>IFERROR(F11/K11,"")</f>
        <v>581.39534883720933</v>
      </c>
      <c r="M11" s="60">
        <v>10</v>
      </c>
      <c r="N11" s="43">
        <f>IFERROR(L11/M11,"")</f>
        <v>58.139534883720934</v>
      </c>
      <c r="O11" s="59">
        <v>1720</v>
      </c>
      <c r="P11" s="61">
        <v>800000</v>
      </c>
      <c r="Q11" s="53">
        <f>IFERROR(IF((O11*L11)&gt;(P11),(P11),O11*L11),"")</f>
        <v>800000</v>
      </c>
      <c r="R11" s="18">
        <v>63041.16</v>
      </c>
      <c r="S11" s="11">
        <f>+'Productive H'!F9</f>
        <v>149.23333333333335</v>
      </c>
      <c r="T11" s="11">
        <f>+R11/S11</f>
        <v>422.43350457895912</v>
      </c>
      <c r="U11" s="11" t="e">
        <f>+T11/#REF!</f>
        <v>#REF!</v>
      </c>
      <c r="V11" s="9">
        <f>27+16+16+16+16+40+32</f>
        <v>163</v>
      </c>
      <c r="W11" s="17">
        <f>+V11-S11</f>
        <v>13.766666666666652</v>
      </c>
      <c r="X11" s="8">
        <f>IF(V11&gt;S11,S11*T11,V11*T11)</f>
        <v>63041.16</v>
      </c>
      <c r="Y11" s="14">
        <f>+X11+Q11</f>
        <v>863041.16</v>
      </c>
      <c r="Z11" s="14" t="e">
        <f>+Y11/#REF!</f>
        <v>#REF!</v>
      </c>
      <c r="AA11" s="53">
        <f>IFERROR(Q11/M11,"")</f>
        <v>80000</v>
      </c>
      <c r="AB11" s="76"/>
      <c r="AC11" s="54">
        <f>IFERROR(AA11-AB11,"")</f>
        <v>80000</v>
      </c>
    </row>
    <row r="12" spans="2:32" x14ac:dyDescent="0.25">
      <c r="B12" s="31"/>
      <c r="C12" s="42" t="s">
        <v>17</v>
      </c>
      <c r="D12" s="41">
        <v>36643</v>
      </c>
      <c r="E12" s="79"/>
      <c r="F12" s="61"/>
      <c r="G12" s="62"/>
      <c r="H12" s="63"/>
      <c r="I12" s="64"/>
      <c r="J12" s="63"/>
      <c r="K12" s="54">
        <f>H12*$I$5*G12+I12*$I$5*J12</f>
        <v>0</v>
      </c>
      <c r="L12" s="70" t="str">
        <f>IFERROR(F12/K12,"")</f>
        <v/>
      </c>
      <c r="M12" s="60">
        <v>10</v>
      </c>
      <c r="N12" s="43" t="str">
        <f>IFERROR(L12/M12,"")</f>
        <v/>
      </c>
      <c r="O12" s="59"/>
      <c r="P12" s="61"/>
      <c r="Q12" s="53" t="str">
        <f>IFERROR(IF((O12*L12)&gt;P12,P12,O12*L12),"")</f>
        <v/>
      </c>
      <c r="R12" s="15">
        <v>126927.19</v>
      </c>
      <c r="S12" s="11">
        <f>+'Productive H'!F16+'Productive H'!F20</f>
        <v>284.89999999999998</v>
      </c>
      <c r="T12" s="11">
        <f>+R12/S12</f>
        <v>445.51488241488244</v>
      </c>
      <c r="U12" s="11" t="e">
        <f>+T12/#REF!</f>
        <v>#REF!</v>
      </c>
      <c r="V12" s="9">
        <f>17+60+50+50+50+25+25+25</f>
        <v>302</v>
      </c>
      <c r="W12" s="17">
        <f>+V12-S12</f>
        <v>17.100000000000023</v>
      </c>
      <c r="X12" s="8">
        <f>IF(V12&gt;S12,S12*T12,V12*T12)</f>
        <v>126927.19</v>
      </c>
      <c r="Y12" s="14" t="e">
        <f>+X12+Q12</f>
        <v>#VALUE!</v>
      </c>
      <c r="Z12" s="14" t="e">
        <f>+Y12/#REF!</f>
        <v>#VALUE!</v>
      </c>
      <c r="AA12" s="53" t="str">
        <f>IFERROR(Q12/M12,"")</f>
        <v/>
      </c>
      <c r="AB12" s="76"/>
      <c r="AC12" s="54" t="str">
        <f t="shared" ref="AC12:AC13" si="0">IFERROR(AA12-AB12,"")</f>
        <v/>
      </c>
    </row>
    <row r="13" spans="2:32" ht="15.75" thickBot="1" x14ac:dyDescent="0.3">
      <c r="B13" s="31"/>
      <c r="C13" s="42"/>
      <c r="D13" s="41"/>
      <c r="E13" s="79"/>
      <c r="F13" s="61"/>
      <c r="G13" s="62"/>
      <c r="H13" s="63"/>
      <c r="I13" s="64"/>
      <c r="J13" s="63"/>
      <c r="K13" s="54">
        <f>H13*$I$5*G13+I13*$I$5*J13</f>
        <v>0</v>
      </c>
      <c r="L13" s="70" t="str">
        <f>IFERROR(F13/K13,"")</f>
        <v/>
      </c>
      <c r="M13" s="60">
        <v>10</v>
      </c>
      <c r="N13" s="43" t="str">
        <f>IFERROR(L13/M13,"")</f>
        <v/>
      </c>
      <c r="O13" s="59"/>
      <c r="P13" s="61"/>
      <c r="Q13" s="53" t="str">
        <f>IFERROR(IF((O13*L13)&gt;P13,P13,O13*L13),"")</f>
        <v/>
      </c>
      <c r="R13" s="15"/>
      <c r="S13" s="11"/>
      <c r="T13" s="11"/>
      <c r="U13" s="11"/>
      <c r="W13" s="17"/>
      <c r="X13" s="8"/>
      <c r="Y13" s="14"/>
      <c r="Z13" s="14"/>
      <c r="AA13" s="53" t="str">
        <f>IFERROR(Q13/M13,"")</f>
        <v/>
      </c>
      <c r="AB13" s="76"/>
      <c r="AC13" s="54" t="str">
        <f t="shared" si="0"/>
        <v/>
      </c>
    </row>
    <row r="14" spans="2:32" ht="16.5" thickBot="1" x14ac:dyDescent="0.3">
      <c r="B14" s="56" t="s">
        <v>66</v>
      </c>
      <c r="C14" s="57"/>
      <c r="D14" s="57"/>
      <c r="E14" s="71"/>
      <c r="F14" s="72"/>
      <c r="G14" s="72"/>
      <c r="H14" s="72"/>
      <c r="I14" s="72"/>
      <c r="J14" s="72"/>
      <c r="K14" s="72"/>
      <c r="L14" s="72"/>
      <c r="M14" s="72"/>
      <c r="N14" s="72"/>
      <c r="O14" s="74">
        <f>SUM(O11:O13)</f>
        <v>1720</v>
      </c>
      <c r="P14" s="72"/>
      <c r="Q14" s="65">
        <f t="shared" ref="Q14:AB14" si="1">SUM(Q11:Q13)</f>
        <v>800000</v>
      </c>
      <c r="R14" s="66">
        <f t="shared" si="1"/>
        <v>189968.35</v>
      </c>
      <c r="S14" s="66">
        <f t="shared" si="1"/>
        <v>434.13333333333333</v>
      </c>
      <c r="T14" s="66">
        <f t="shared" si="1"/>
        <v>867.9483869938415</v>
      </c>
      <c r="U14" s="66" t="e">
        <f t="shared" si="1"/>
        <v>#REF!</v>
      </c>
      <c r="V14" s="66">
        <f t="shared" si="1"/>
        <v>465</v>
      </c>
      <c r="W14" s="66">
        <f t="shared" si="1"/>
        <v>30.866666666666674</v>
      </c>
      <c r="X14" s="66">
        <f t="shared" si="1"/>
        <v>189968.35</v>
      </c>
      <c r="Y14" s="66" t="e">
        <f t="shared" si="1"/>
        <v>#VALUE!</v>
      </c>
      <c r="Z14" s="67" t="e">
        <f t="shared" si="1"/>
        <v>#REF!</v>
      </c>
      <c r="AA14" s="68">
        <f t="shared" si="1"/>
        <v>80000</v>
      </c>
      <c r="AB14" s="69">
        <f t="shared" si="1"/>
        <v>0</v>
      </c>
      <c r="AC14" s="69">
        <f>AA14-AB14</f>
        <v>80000</v>
      </c>
    </row>
    <row r="15" spans="2:32" x14ac:dyDescent="0.25">
      <c r="R15" s="7"/>
    </row>
    <row r="16" spans="2:32" x14ac:dyDescent="0.25">
      <c r="R16" s="7"/>
    </row>
    <row r="17" spans="6:18" x14ac:dyDescent="0.25">
      <c r="R17" s="7"/>
    </row>
    <row r="18" spans="6:18" x14ac:dyDescent="0.25">
      <c r="R18" s="7"/>
    </row>
    <row r="19" spans="6:18" ht="15.75" customHeight="1" x14ac:dyDescent="0.25">
      <c r="P19" s="154"/>
      <c r="Q19" s="154"/>
      <c r="R19" s="7"/>
    </row>
    <row r="20" spans="6:18" x14ac:dyDescent="0.25">
      <c r="P20" s="154"/>
      <c r="Q20" s="154"/>
      <c r="R20" s="7"/>
    </row>
    <row r="21" spans="6:18" x14ac:dyDescent="0.25">
      <c r="F21" s="4"/>
      <c r="P21" s="81"/>
      <c r="Q21" s="81"/>
      <c r="R21" s="7"/>
    </row>
    <row r="22" spans="6:18" x14ac:dyDescent="0.25">
      <c r="P22" s="81"/>
      <c r="Q22" s="81"/>
      <c r="R22" s="7"/>
    </row>
    <row r="23" spans="6:18" x14ac:dyDescent="0.25">
      <c r="P23" s="82"/>
      <c r="Q23" s="83"/>
      <c r="R23" s="7"/>
    </row>
    <row r="24" spans="6:18" ht="15" customHeight="1" x14ac:dyDescent="0.25">
      <c r="P24" s="82"/>
      <c r="Q24" s="83"/>
      <c r="R24" s="7"/>
    </row>
    <row r="25" spans="6:18" x14ac:dyDescent="0.25">
      <c r="P25" s="82"/>
      <c r="Q25" s="83"/>
      <c r="R25" s="7"/>
    </row>
    <row r="26" spans="6:18" ht="15.75" x14ac:dyDescent="0.25">
      <c r="P26" s="84"/>
      <c r="Q26" s="85"/>
    </row>
    <row r="30" spans="6:18" x14ac:dyDescent="0.25">
      <c r="R30" s="9">
        <f>684600/12</f>
        <v>57050</v>
      </c>
    </row>
  </sheetData>
  <mergeCells count="20">
    <mergeCell ref="P8:AA8"/>
    <mergeCell ref="P19:Q20"/>
    <mergeCell ref="AB9:AB10"/>
    <mergeCell ref="AC9:AC10"/>
    <mergeCell ref="F1:I2"/>
    <mergeCell ref="G8:K8"/>
    <mergeCell ref="L8:N8"/>
    <mergeCell ref="I9:J9"/>
    <mergeCell ref="K9:K10"/>
    <mergeCell ref="L9:L10"/>
    <mergeCell ref="M9:M10"/>
    <mergeCell ref="N9:N10"/>
    <mergeCell ref="O9:O10"/>
    <mergeCell ref="Q9:Q10"/>
    <mergeCell ref="AA9:AA10"/>
    <mergeCell ref="B9:B10"/>
    <mergeCell ref="E9:E10"/>
    <mergeCell ref="F9:F10"/>
    <mergeCell ref="P9:P10"/>
    <mergeCell ref="G9:H9"/>
  </mergeCells>
  <hyperlinks>
    <hyperlink ref="G6" r:id="rId1"/>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V26"/>
  <sheetViews>
    <sheetView zoomScale="55" zoomScaleNormal="55" workbookViewId="0">
      <selection activeCell="K11" sqref="K11"/>
    </sheetView>
  </sheetViews>
  <sheetFormatPr defaultColWidth="11.42578125" defaultRowHeight="15" x14ac:dyDescent="0.25"/>
  <cols>
    <col min="1" max="1" width="10.7109375" style="9" customWidth="1"/>
    <col min="2" max="2" width="22.140625" style="9" hidden="1" customWidth="1"/>
    <col min="3" max="3" width="9" style="9" hidden="1" customWidth="1"/>
    <col min="4" max="4" width="14.5703125" style="9" hidden="1" customWidth="1"/>
    <col min="5" max="5" width="23.85546875" style="9" customWidth="1"/>
    <col min="6" max="6" width="28.28515625" style="9" customWidth="1"/>
    <col min="7" max="7" width="15.42578125" style="9" customWidth="1"/>
    <col min="8" max="8" width="22" style="9" customWidth="1"/>
    <col min="9" max="10" width="14.5703125" style="9" customWidth="1"/>
    <col min="11" max="11" width="11.42578125" style="9"/>
    <col min="12" max="12" width="10.140625" style="9" customWidth="1"/>
    <col min="13" max="13" width="12.7109375" style="9" customWidth="1"/>
    <col min="14" max="14" width="20.140625" style="9" customWidth="1"/>
    <col min="15" max="16" width="14" style="9" customWidth="1"/>
    <col min="17" max="17" width="12.140625" style="9" customWidth="1"/>
    <col min="18" max="18" width="14" style="9" hidden="1" customWidth="1"/>
    <col min="19" max="19" width="15.85546875" style="9" hidden="1" customWidth="1"/>
    <col min="20" max="21" width="11.42578125" style="9"/>
    <col min="22" max="22" width="0" style="9" hidden="1" customWidth="1"/>
    <col min="23" max="16384" width="11.42578125" style="9"/>
  </cols>
  <sheetData>
    <row r="1" spans="2:22" x14ac:dyDescent="0.25">
      <c r="E1" s="77" t="s">
        <v>84</v>
      </c>
      <c r="F1" s="125" t="s">
        <v>81</v>
      </c>
      <c r="G1" s="126"/>
      <c r="H1" s="126"/>
      <c r="I1" s="155"/>
    </row>
    <row r="2" spans="2:22" ht="15.75" thickBot="1" x14ac:dyDescent="0.3">
      <c r="E2" s="80"/>
      <c r="F2" s="127"/>
      <c r="G2" s="128"/>
      <c r="H2" s="128"/>
      <c r="I2" s="156"/>
    </row>
    <row r="3" spans="2:22" ht="15.75" thickBot="1" x14ac:dyDescent="0.3">
      <c r="E3" s="77" t="s">
        <v>82</v>
      </c>
    </row>
    <row r="4" spans="2:22" ht="15.75" thickBot="1" x14ac:dyDescent="0.3">
      <c r="E4" s="80">
        <v>1</v>
      </c>
      <c r="G4" s="33" t="s">
        <v>68</v>
      </c>
      <c r="H4" s="34"/>
      <c r="K4" s="35">
        <v>1720</v>
      </c>
    </row>
    <row r="5" spans="2:22" ht="15.75" thickBot="1" x14ac:dyDescent="0.3">
      <c r="G5" s="39" t="s">
        <v>69</v>
      </c>
      <c r="H5" s="10"/>
      <c r="K5" s="55">
        <f>K4/12</f>
        <v>143.33333333333334</v>
      </c>
      <c r="V5" s="9">
        <v>1</v>
      </c>
    </row>
    <row r="6" spans="2:22" x14ac:dyDescent="0.25">
      <c r="G6" s="75" t="s">
        <v>80</v>
      </c>
      <c r="H6" s="7"/>
      <c r="I6" s="75"/>
      <c r="V6" s="9">
        <v>2</v>
      </c>
    </row>
    <row r="7" spans="2:22" ht="15.75" thickBot="1" x14ac:dyDescent="0.3">
      <c r="G7" s="7"/>
      <c r="H7" s="7"/>
      <c r="I7" s="58"/>
      <c r="V7" s="9">
        <v>3</v>
      </c>
    </row>
    <row r="8" spans="2:22" ht="15.75" thickBot="1" x14ac:dyDescent="0.3">
      <c r="B8" s="5"/>
      <c r="C8" s="5"/>
      <c r="D8" s="5"/>
      <c r="E8" s="5"/>
      <c r="F8" s="5"/>
      <c r="G8" s="151" t="s">
        <v>63</v>
      </c>
      <c r="H8" s="152"/>
      <c r="I8" s="152"/>
      <c r="J8" s="152"/>
      <c r="K8" s="164"/>
      <c r="L8" s="87" t="s">
        <v>7</v>
      </c>
      <c r="M8" s="151" t="s">
        <v>75</v>
      </c>
      <c r="N8" s="152"/>
      <c r="O8" s="152"/>
      <c r="P8" s="152"/>
      <c r="Q8" s="153"/>
      <c r="V8" s="9">
        <v>4</v>
      </c>
    </row>
    <row r="9" spans="2:22" ht="45.75" customHeight="1" thickBot="1" x14ac:dyDescent="0.3">
      <c r="B9" s="147" t="s">
        <v>65</v>
      </c>
      <c r="C9" s="44"/>
      <c r="D9" s="45">
        <v>2016</v>
      </c>
      <c r="E9" s="135" t="s">
        <v>85</v>
      </c>
      <c r="F9" s="135" t="s">
        <v>83</v>
      </c>
      <c r="G9" s="149" t="s">
        <v>70</v>
      </c>
      <c r="H9" s="150"/>
      <c r="I9" s="158" t="s">
        <v>71</v>
      </c>
      <c r="J9" s="165"/>
      <c r="K9" s="160" t="s">
        <v>72</v>
      </c>
      <c r="L9" s="166" t="s">
        <v>77</v>
      </c>
      <c r="M9" s="143" t="s">
        <v>74</v>
      </c>
      <c r="N9" s="135" t="s">
        <v>86</v>
      </c>
      <c r="O9" s="137" t="s">
        <v>73</v>
      </c>
      <c r="P9" s="137" t="s">
        <v>67</v>
      </c>
      <c r="Q9" s="143" t="s">
        <v>79</v>
      </c>
      <c r="R9" s="143" t="s">
        <v>76</v>
      </c>
      <c r="S9" s="137" t="s">
        <v>0</v>
      </c>
      <c r="V9" s="9">
        <v>5</v>
      </c>
    </row>
    <row r="10" spans="2:22" ht="15.75" thickBot="1" x14ac:dyDescent="0.3">
      <c r="B10" s="148"/>
      <c r="C10" s="47"/>
      <c r="D10" s="47" t="s">
        <v>6</v>
      </c>
      <c r="E10" s="136"/>
      <c r="F10" s="136"/>
      <c r="G10" s="49" t="s">
        <v>64</v>
      </c>
      <c r="H10" s="50" t="s">
        <v>61</v>
      </c>
      <c r="I10" s="51" t="s">
        <v>64</v>
      </c>
      <c r="J10" s="73" t="s">
        <v>61</v>
      </c>
      <c r="K10" s="161"/>
      <c r="L10" s="163"/>
      <c r="M10" s="144"/>
      <c r="N10" s="136"/>
      <c r="O10" s="138"/>
      <c r="P10" s="138"/>
      <c r="Q10" s="144" t="s">
        <v>62</v>
      </c>
      <c r="R10" s="144"/>
      <c r="S10" s="138"/>
    </row>
    <row r="11" spans="2:22" x14ac:dyDescent="0.25">
      <c r="B11" s="52" t="s">
        <v>4</v>
      </c>
      <c r="C11" s="31">
        <v>10</v>
      </c>
      <c r="D11" s="41">
        <v>37371.17</v>
      </c>
      <c r="E11" s="78">
        <v>2017</v>
      </c>
      <c r="F11" s="61">
        <v>600000</v>
      </c>
      <c r="G11" s="62">
        <v>1</v>
      </c>
      <c r="H11" s="63">
        <v>12</v>
      </c>
      <c r="I11" s="62"/>
      <c r="J11" s="63"/>
      <c r="K11" s="54">
        <f>IFERROR(H11*$K$5*G11+I11*$K$5*J11,"")</f>
        <v>1720</v>
      </c>
      <c r="L11" s="70">
        <f>IFERROR(F11/K11,"")</f>
        <v>348.83720930232556</v>
      </c>
      <c r="M11" s="59">
        <v>810</v>
      </c>
      <c r="N11" s="61">
        <v>400000</v>
      </c>
      <c r="O11" s="53">
        <f>IFERROR(IF((M11*L11)&gt;(N11),(N11),M11*L11),"")</f>
        <v>282558.13953488372</v>
      </c>
      <c r="P11" s="60">
        <v>10</v>
      </c>
      <c r="Q11" s="53">
        <f>IFERROR(O11/P11,"")</f>
        <v>28255.813953488374</v>
      </c>
      <c r="R11" s="76"/>
      <c r="S11" s="54">
        <f>IFERROR(Q11-R11,"")</f>
        <v>28255.813953488374</v>
      </c>
    </row>
    <row r="12" spans="2:22" x14ac:dyDescent="0.25">
      <c r="B12" s="31"/>
      <c r="C12" s="42" t="s">
        <v>17</v>
      </c>
      <c r="D12" s="41">
        <v>36643</v>
      </c>
      <c r="E12" s="79"/>
      <c r="F12" s="61"/>
      <c r="G12" s="62"/>
      <c r="H12" s="63"/>
      <c r="I12" s="64"/>
      <c r="J12" s="63"/>
      <c r="K12" s="54">
        <f>H12*$K$5*G12+I12*$K$5*J12</f>
        <v>0</v>
      </c>
      <c r="L12" s="70" t="str">
        <f>IFERROR(F12/K12,"")</f>
        <v/>
      </c>
      <c r="M12" s="59"/>
      <c r="N12" s="61"/>
      <c r="O12" s="53" t="str">
        <f>IFERROR(IF((M12*L12)&gt;N12,N12,M12*L12),"")</f>
        <v/>
      </c>
      <c r="P12" s="60">
        <v>10</v>
      </c>
      <c r="Q12" s="53" t="str">
        <f>IFERROR(O12/P12,"")</f>
        <v/>
      </c>
      <c r="R12" s="76"/>
      <c r="S12" s="54" t="str">
        <f t="shared" ref="S12:S13" si="0">IFERROR(Q12-R12,"")</f>
        <v/>
      </c>
    </row>
    <row r="13" spans="2:22" ht="15.75" thickBot="1" x14ac:dyDescent="0.3">
      <c r="B13" s="31"/>
      <c r="C13" s="42"/>
      <c r="D13" s="41"/>
      <c r="E13" s="79"/>
      <c r="F13" s="61"/>
      <c r="G13" s="62"/>
      <c r="H13" s="63"/>
      <c r="I13" s="64"/>
      <c r="J13" s="63"/>
      <c r="K13" s="54">
        <f>H13*$K$5*G13+I13*$K$5*J13</f>
        <v>0</v>
      </c>
      <c r="L13" s="70" t="str">
        <f>IFERROR(F13/K13,"")</f>
        <v/>
      </c>
      <c r="M13" s="59"/>
      <c r="N13" s="61"/>
      <c r="O13" s="53" t="str">
        <f>IFERROR(IF((M13*L13)&gt;N13,N13,M13*L13),"")</f>
        <v/>
      </c>
      <c r="P13" s="60">
        <v>10</v>
      </c>
      <c r="Q13" s="53" t="str">
        <f>IFERROR(O13/P13,"")</f>
        <v/>
      </c>
      <c r="R13" s="76"/>
      <c r="S13" s="54" t="str">
        <f t="shared" si="0"/>
        <v/>
      </c>
    </row>
    <row r="14" spans="2:22" ht="16.5" thickBot="1" x14ac:dyDescent="0.3">
      <c r="B14" s="56" t="s">
        <v>66</v>
      </c>
      <c r="C14" s="57"/>
      <c r="D14" s="57"/>
      <c r="E14" s="71"/>
      <c r="F14" s="72"/>
      <c r="G14" s="72"/>
      <c r="H14" s="72"/>
      <c r="I14" s="72"/>
      <c r="J14" s="72"/>
      <c r="K14" s="72"/>
      <c r="L14" s="72"/>
      <c r="M14" s="74">
        <f>SUM(M11:M13)</f>
        <v>810</v>
      </c>
      <c r="N14" s="72"/>
      <c r="O14" s="65">
        <f t="shared" ref="O14:R14" si="1">SUM(O11:O13)</f>
        <v>282558.13953488372</v>
      </c>
      <c r="P14" s="72"/>
      <c r="Q14" s="68">
        <f t="shared" si="1"/>
        <v>28255.813953488374</v>
      </c>
      <c r="R14" s="69">
        <f t="shared" si="1"/>
        <v>0</v>
      </c>
      <c r="S14" s="69">
        <f>Q14-R14</f>
        <v>28255.813953488374</v>
      </c>
    </row>
    <row r="19" spans="6:16" ht="15.75" customHeight="1" x14ac:dyDescent="0.25">
      <c r="N19" s="154"/>
      <c r="O19" s="154"/>
      <c r="P19" s="86"/>
    </row>
    <row r="20" spans="6:16" x14ac:dyDescent="0.25">
      <c r="N20" s="154"/>
      <c r="O20" s="154"/>
      <c r="P20" s="86"/>
    </row>
    <row r="21" spans="6:16" x14ac:dyDescent="0.25">
      <c r="F21" s="4"/>
      <c r="N21" s="81"/>
      <c r="O21" s="81"/>
      <c r="P21" s="81"/>
    </row>
    <row r="22" spans="6:16" x14ac:dyDescent="0.25">
      <c r="N22" s="81"/>
      <c r="O22" s="81"/>
      <c r="P22" s="81"/>
    </row>
    <row r="23" spans="6:16" x14ac:dyDescent="0.25">
      <c r="N23" s="82"/>
      <c r="O23" s="83"/>
      <c r="P23" s="83"/>
    </row>
    <row r="24" spans="6:16" ht="15" customHeight="1" x14ac:dyDescent="0.25">
      <c r="N24" s="82"/>
      <c r="O24" s="83"/>
      <c r="P24" s="83"/>
    </row>
    <row r="25" spans="6:16" x14ac:dyDescent="0.25">
      <c r="N25" s="82"/>
      <c r="O25" s="83"/>
      <c r="P25" s="83"/>
    </row>
    <row r="26" spans="6:16" ht="15.75" x14ac:dyDescent="0.25">
      <c r="N26" s="84"/>
      <c r="O26" s="85"/>
      <c r="P26" s="85"/>
    </row>
  </sheetData>
  <mergeCells count="18">
    <mergeCell ref="Q9:Q10"/>
    <mergeCell ref="R9:R10"/>
    <mergeCell ref="S9:S10"/>
    <mergeCell ref="N19:O20"/>
    <mergeCell ref="M8:Q8"/>
    <mergeCell ref="L9:L10"/>
    <mergeCell ref="P9:P10"/>
    <mergeCell ref="M9:M10"/>
    <mergeCell ref="N9:N10"/>
    <mergeCell ref="O9:O10"/>
    <mergeCell ref="F1:I2"/>
    <mergeCell ref="G8:K8"/>
    <mergeCell ref="B9:B10"/>
    <mergeCell ref="E9:E10"/>
    <mergeCell ref="F9:F10"/>
    <mergeCell ref="G9:H9"/>
    <mergeCell ref="I9:J9"/>
    <mergeCell ref="K9:K10"/>
  </mergeCells>
  <hyperlinks>
    <hyperlink ref="G6" r:id="rId1"/>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Q26"/>
  <sheetViews>
    <sheetView zoomScale="85" zoomScaleNormal="85" workbookViewId="0">
      <selection activeCell="E8" sqref="E8:E9"/>
    </sheetView>
  </sheetViews>
  <sheetFormatPr defaultColWidth="11.42578125" defaultRowHeight="15" x14ac:dyDescent="0.25"/>
  <cols>
    <col min="1" max="1" width="15.28515625" style="9" bestFit="1" customWidth="1"/>
    <col min="2" max="2" width="2.7109375" style="9" customWidth="1"/>
    <col min="3" max="4" width="23.85546875" style="9" customWidth="1"/>
    <col min="5" max="5" width="29.85546875" style="9" customWidth="1"/>
    <col min="6" max="6" width="27" style="9" customWidth="1"/>
    <col min="7" max="8" width="22" style="9" customWidth="1"/>
    <col min="9" max="9" width="21" style="9" customWidth="1"/>
    <col min="10" max="10" width="10.140625" style="9" customWidth="1"/>
    <col min="11" max="11" width="11.42578125" style="9"/>
    <col min="12" max="13" width="0" style="9" hidden="1" customWidth="1"/>
    <col min="14" max="14" width="16.140625" style="9" hidden="1" customWidth="1"/>
    <col min="15" max="17" width="0" style="9" hidden="1" customWidth="1"/>
    <col min="18" max="16384" width="11.42578125" style="9"/>
  </cols>
  <sheetData>
    <row r="1" spans="1:17" x14ac:dyDescent="0.25">
      <c r="C1" s="77" t="s">
        <v>84</v>
      </c>
      <c r="D1" s="33"/>
      <c r="E1" s="125" t="s">
        <v>81</v>
      </c>
      <c r="F1" s="126"/>
      <c r="G1" s="126"/>
      <c r="H1" s="97"/>
    </row>
    <row r="2" spans="1:17" ht="15.75" thickBot="1" x14ac:dyDescent="0.3">
      <c r="C2" s="80"/>
      <c r="D2" s="88"/>
      <c r="E2" s="127"/>
      <c r="F2" s="128"/>
      <c r="G2" s="128"/>
      <c r="H2" s="98"/>
    </row>
    <row r="3" spans="1:17" ht="15.75" thickBot="1" x14ac:dyDescent="0.3">
      <c r="C3" s="77" t="s">
        <v>82</v>
      </c>
      <c r="D3" s="7"/>
    </row>
    <row r="4" spans="1:17" ht="15.75" thickBot="1" x14ac:dyDescent="0.3">
      <c r="C4" s="80">
        <v>1</v>
      </c>
      <c r="D4" s="89"/>
      <c r="F4" s="33" t="s">
        <v>68</v>
      </c>
      <c r="G4" s="34"/>
      <c r="H4" s="34"/>
      <c r="I4" s="35">
        <v>1720</v>
      </c>
    </row>
    <row r="5" spans="1:17" ht="15.75" thickBot="1" x14ac:dyDescent="0.3">
      <c r="F5" s="39" t="s">
        <v>69</v>
      </c>
      <c r="G5" s="10"/>
      <c r="H5" s="10"/>
      <c r="I5" s="55">
        <f>I4/12</f>
        <v>143.33333333333334</v>
      </c>
      <c r="L5" s="9">
        <v>1</v>
      </c>
    </row>
    <row r="6" spans="1:17" x14ac:dyDescent="0.25">
      <c r="F6" s="75" t="s">
        <v>80</v>
      </c>
      <c r="G6" s="7"/>
      <c r="H6" s="7"/>
      <c r="L6" s="9">
        <v>2</v>
      </c>
    </row>
    <row r="7" spans="1:17" ht="15.75" thickBot="1" x14ac:dyDescent="0.3">
      <c r="F7" s="7"/>
      <c r="G7" s="7"/>
      <c r="H7" s="7"/>
      <c r="L7" s="9">
        <v>3</v>
      </c>
    </row>
    <row r="8" spans="1:17" ht="45.75" customHeight="1" thickBot="1" x14ac:dyDescent="0.3">
      <c r="A8" s="129" t="s">
        <v>88</v>
      </c>
      <c r="B8" s="132"/>
      <c r="C8" s="135" t="s">
        <v>90</v>
      </c>
      <c r="D8" s="135" t="s">
        <v>83</v>
      </c>
      <c r="E8" s="135" t="s">
        <v>117</v>
      </c>
      <c r="F8" s="90" t="s">
        <v>70</v>
      </c>
      <c r="G8" s="137" t="s">
        <v>91</v>
      </c>
      <c r="H8" s="135" t="s">
        <v>72</v>
      </c>
      <c r="I8" s="135" t="s">
        <v>112</v>
      </c>
      <c r="J8" s="135" t="s">
        <v>77</v>
      </c>
      <c r="N8" s="167" t="s">
        <v>109</v>
      </c>
      <c r="O8" s="168"/>
      <c r="P8" s="168"/>
      <c r="Q8" s="169"/>
    </row>
    <row r="9" spans="1:17" ht="15.75" thickBot="1" x14ac:dyDescent="0.3">
      <c r="A9" s="130"/>
      <c r="B9" s="133"/>
      <c r="C9" s="136"/>
      <c r="D9" s="136"/>
      <c r="E9" s="136"/>
      <c r="F9" s="49" t="s">
        <v>64</v>
      </c>
      <c r="G9" s="138"/>
      <c r="H9" s="136"/>
      <c r="I9" s="136"/>
      <c r="J9" s="136"/>
      <c r="N9" s="92" t="s">
        <v>106</v>
      </c>
      <c r="O9" s="92" t="s">
        <v>107</v>
      </c>
      <c r="P9" s="92" t="s">
        <v>108</v>
      </c>
      <c r="Q9" s="92" t="s">
        <v>105</v>
      </c>
    </row>
    <row r="10" spans="1:17" x14ac:dyDescent="0.25">
      <c r="A10" s="130"/>
      <c r="B10" s="133"/>
      <c r="C10" s="99">
        <v>2017</v>
      </c>
      <c r="D10" s="61">
        <v>600000</v>
      </c>
      <c r="E10" s="61"/>
      <c r="F10" s="62">
        <v>0.8</v>
      </c>
      <c r="G10" s="63">
        <v>12</v>
      </c>
      <c r="H10" s="54">
        <f>IFERROR(I$5*F10*G10,"")</f>
        <v>1376.0000000000002</v>
      </c>
      <c r="I10" s="94"/>
      <c r="J10" s="54">
        <f>IF(I10="",D10/H10,E17/I10)</f>
        <v>436.04651162790691</v>
      </c>
      <c r="N10" s="31" t="s">
        <v>93</v>
      </c>
      <c r="O10" s="93">
        <v>0.5</v>
      </c>
      <c r="P10" s="93">
        <v>0.5</v>
      </c>
      <c r="Q10" s="43">
        <f>$I$5*O10-($I$5*O10*P10)</f>
        <v>35.833333333333336</v>
      </c>
    </row>
    <row r="11" spans="1:17" x14ac:dyDescent="0.25">
      <c r="A11" s="130"/>
      <c r="B11" s="133"/>
      <c r="C11" s="99">
        <v>2018</v>
      </c>
      <c r="D11" s="61">
        <v>700000</v>
      </c>
      <c r="E11" s="61"/>
      <c r="F11" s="62">
        <v>1</v>
      </c>
      <c r="G11" s="63">
        <v>12</v>
      </c>
      <c r="H11" s="54">
        <f>IFERROR(I$5*F11*G11,"")</f>
        <v>1720</v>
      </c>
      <c r="I11" s="94"/>
      <c r="J11" s="54">
        <f>IF(I11="",D11/H11,E18/I11)</f>
        <v>406.97674418604652</v>
      </c>
      <c r="N11" s="31" t="s">
        <v>94</v>
      </c>
      <c r="O11" s="93">
        <v>0.5</v>
      </c>
      <c r="P11" s="93">
        <v>0.5</v>
      </c>
      <c r="Q11" s="43">
        <f t="shared" ref="P11:Q21" si="0">$I$5*O11-($I$5*O11*P11)</f>
        <v>35.833333333333336</v>
      </c>
    </row>
    <row r="12" spans="1:17" ht="15.75" thickBot="1" x14ac:dyDescent="0.3">
      <c r="A12" s="131"/>
      <c r="B12" s="134"/>
      <c r="C12" s="99">
        <v>2018</v>
      </c>
      <c r="D12" s="61">
        <v>700000</v>
      </c>
      <c r="E12" s="61"/>
      <c r="F12" s="62">
        <v>1</v>
      </c>
      <c r="G12" s="63">
        <v>12</v>
      </c>
      <c r="H12" s="54">
        <f>IFERROR(I$5*F12*G12,"")</f>
        <v>1720</v>
      </c>
      <c r="I12" s="94"/>
      <c r="J12" s="54">
        <f>IF(I12="",D12/H12,E19/I12)</f>
        <v>406.97674418604652</v>
      </c>
      <c r="N12" s="31" t="s">
        <v>95</v>
      </c>
      <c r="O12" s="93">
        <v>0.5</v>
      </c>
      <c r="P12" s="93">
        <v>0.5</v>
      </c>
      <c r="Q12" s="43">
        <f t="shared" si="0"/>
        <v>35.833333333333336</v>
      </c>
    </row>
    <row r="13" spans="1:17" ht="15.75" thickBot="1" x14ac:dyDescent="0.3">
      <c r="A13" s="10"/>
      <c r="B13" s="10"/>
      <c r="C13" s="10"/>
      <c r="D13" s="10"/>
      <c r="E13" s="10"/>
      <c r="F13" s="10"/>
      <c r="G13" s="10"/>
      <c r="H13" s="10"/>
      <c r="I13" s="10"/>
      <c r="M13" s="31" t="s">
        <v>96</v>
      </c>
      <c r="N13" s="93">
        <v>0.5</v>
      </c>
      <c r="O13" s="93">
        <v>0.5</v>
      </c>
      <c r="P13" s="43">
        <f t="shared" si="0"/>
        <v>35.833333333333336</v>
      </c>
    </row>
    <row r="14" spans="1:17" ht="15.75" thickBot="1" x14ac:dyDescent="0.3">
      <c r="M14" s="31" t="s">
        <v>97</v>
      </c>
      <c r="N14" s="93">
        <v>0.5</v>
      </c>
      <c r="O14" s="93">
        <v>1</v>
      </c>
      <c r="P14" s="43">
        <f t="shared" si="0"/>
        <v>0</v>
      </c>
    </row>
    <row r="15" spans="1:17" ht="15" customHeight="1" x14ac:dyDescent="0.25">
      <c r="A15" s="129" t="s">
        <v>87</v>
      </c>
      <c r="C15" s="135" t="s">
        <v>89</v>
      </c>
      <c r="D15" s="145" t="s">
        <v>74</v>
      </c>
      <c r="E15" s="135" t="s">
        <v>92</v>
      </c>
      <c r="F15" s="137" t="s">
        <v>115</v>
      </c>
      <c r="G15" s="137" t="s">
        <v>67</v>
      </c>
      <c r="H15" s="143" t="s">
        <v>116</v>
      </c>
      <c r="M15" s="31" t="s">
        <v>98</v>
      </c>
      <c r="N15" s="93">
        <v>0.5</v>
      </c>
      <c r="O15" s="93">
        <v>1</v>
      </c>
      <c r="P15" s="43">
        <f t="shared" si="0"/>
        <v>0</v>
      </c>
    </row>
    <row r="16" spans="1:17" ht="15.75" thickBot="1" x14ac:dyDescent="0.3">
      <c r="A16" s="130"/>
      <c r="C16" s="136"/>
      <c r="D16" s="146"/>
      <c r="E16" s="136"/>
      <c r="F16" s="138"/>
      <c r="G16" s="138"/>
      <c r="H16" s="144"/>
      <c r="M16" s="31" t="s">
        <v>99</v>
      </c>
      <c r="N16" s="93">
        <v>1</v>
      </c>
      <c r="O16" s="93">
        <v>1</v>
      </c>
      <c r="P16" s="43">
        <f t="shared" si="0"/>
        <v>0</v>
      </c>
    </row>
    <row r="17" spans="1:17" x14ac:dyDescent="0.25">
      <c r="A17" s="130"/>
      <c r="C17" s="100">
        <f>C10</f>
        <v>2017</v>
      </c>
      <c r="D17" s="103">
        <v>600</v>
      </c>
      <c r="E17" s="61">
        <v>600000</v>
      </c>
      <c r="F17" s="53">
        <f>IFERROR(IF((D17*J10)&gt;(E17),(E17),D17*J10),"")</f>
        <v>261627.90697674415</v>
      </c>
      <c r="G17" s="60">
        <v>10</v>
      </c>
      <c r="H17" s="53">
        <f>IFERROR(F17/G17,"")</f>
        <v>26162.790697674416</v>
      </c>
      <c r="M17" s="31" t="s">
        <v>100</v>
      </c>
      <c r="N17" s="93">
        <v>1</v>
      </c>
      <c r="O17" s="93">
        <v>1</v>
      </c>
      <c r="P17" s="43">
        <f t="shared" si="0"/>
        <v>0</v>
      </c>
    </row>
    <row r="18" spans="1:17" x14ac:dyDescent="0.25">
      <c r="A18" s="130"/>
      <c r="C18" s="100">
        <f t="shared" ref="C18" si="1">C11</f>
        <v>2018</v>
      </c>
      <c r="D18" s="103">
        <v>688</v>
      </c>
      <c r="E18" s="61">
        <v>400000</v>
      </c>
      <c r="F18" s="53">
        <f>IFERROR(IF((D18*J11)&gt;(E18),(E18),D18*J11),"")</f>
        <v>280000</v>
      </c>
      <c r="G18" s="60">
        <v>10</v>
      </c>
      <c r="H18" s="53">
        <f>IFERROR(F18/G18,"")</f>
        <v>28000</v>
      </c>
      <c r="M18" s="31" t="s">
        <v>101</v>
      </c>
      <c r="N18" s="93">
        <v>1</v>
      </c>
      <c r="O18" s="93">
        <v>1</v>
      </c>
      <c r="P18" s="43">
        <f t="shared" si="0"/>
        <v>0</v>
      </c>
    </row>
    <row r="19" spans="1:17" ht="15.75" thickBot="1" x14ac:dyDescent="0.3">
      <c r="A19" s="131"/>
      <c r="C19" s="100">
        <f>C12+1</f>
        <v>2019</v>
      </c>
      <c r="D19" s="103">
        <v>516</v>
      </c>
      <c r="E19" s="61">
        <v>350000</v>
      </c>
      <c r="F19" s="53">
        <f>IFERROR(IF((D19*J12)&gt;(E19),(E19),D19*J12),"")</f>
        <v>210000</v>
      </c>
      <c r="G19" s="60">
        <v>10</v>
      </c>
      <c r="H19" s="53">
        <f>IFERROR(F19/G19,"")</f>
        <v>21000</v>
      </c>
      <c r="M19" s="31" t="s">
        <v>102</v>
      </c>
      <c r="N19" s="93">
        <v>1</v>
      </c>
      <c r="O19" s="93">
        <v>1</v>
      </c>
      <c r="P19" s="43">
        <f t="shared" si="0"/>
        <v>0</v>
      </c>
    </row>
    <row r="20" spans="1:17" x14ac:dyDescent="0.25">
      <c r="M20" s="31" t="s">
        <v>103</v>
      </c>
      <c r="N20" s="93">
        <v>1</v>
      </c>
      <c r="O20" s="93">
        <v>1</v>
      </c>
      <c r="P20" s="43">
        <f t="shared" si="0"/>
        <v>0</v>
      </c>
    </row>
    <row r="21" spans="1:17" ht="15.75" customHeight="1" x14ac:dyDescent="0.25">
      <c r="M21" s="31" t="s">
        <v>104</v>
      </c>
      <c r="N21" s="93">
        <v>1</v>
      </c>
      <c r="O21" s="93">
        <v>1</v>
      </c>
      <c r="P21" s="43">
        <f t="shared" si="0"/>
        <v>0</v>
      </c>
    </row>
    <row r="22" spans="1:17" x14ac:dyDescent="0.25">
      <c r="P22" s="91">
        <f>SUM(P10:P21)</f>
        <v>37.333333333333336</v>
      </c>
      <c r="Q22" s="9" t="s">
        <v>32</v>
      </c>
    </row>
    <row r="23" spans="1:17" x14ac:dyDescent="0.25">
      <c r="E23" s="4"/>
    </row>
    <row r="26" spans="1:17" ht="15" customHeight="1" x14ac:dyDescent="0.25"/>
  </sheetData>
  <mergeCells count="18">
    <mergeCell ref="N8:Q8"/>
    <mergeCell ref="I8:I9"/>
    <mergeCell ref="J8:J9"/>
    <mergeCell ref="C8:C9"/>
    <mergeCell ref="G15:G16"/>
    <mergeCell ref="D8:D9"/>
    <mergeCell ref="H15:H16"/>
    <mergeCell ref="F15:F16"/>
    <mergeCell ref="E15:E16"/>
    <mergeCell ref="H8:H9"/>
    <mergeCell ref="G8:G9"/>
    <mergeCell ref="E8:E9"/>
    <mergeCell ref="A15:A19"/>
    <mergeCell ref="D15:D16"/>
    <mergeCell ref="B8:B12"/>
    <mergeCell ref="A8:A12"/>
    <mergeCell ref="E1:G2"/>
    <mergeCell ref="C15:C16"/>
  </mergeCells>
  <hyperlinks>
    <hyperlink ref="F6" r:id="rId1"/>
  </hyperlinks>
  <pageMargins left="0.7" right="0.7" top="0.75" bottom="0.75" header="0.3" footer="0.3"/>
  <pageSetup paperSize="9" scale="71" fitToHeight="0" orientation="landscape" r:id="rId2"/>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46"/>
  <sheetViews>
    <sheetView workbookViewId="0">
      <selection activeCell="E8" sqref="E8:E9"/>
    </sheetView>
  </sheetViews>
  <sheetFormatPr defaultRowHeight="15" x14ac:dyDescent="0.25"/>
  <cols>
    <col min="3" max="3" width="21.85546875" customWidth="1"/>
    <col min="5" max="5" width="11.7109375" customWidth="1"/>
    <col min="6" max="6" width="13.140625" bestFit="1" customWidth="1"/>
    <col min="7" max="7" width="12" customWidth="1"/>
    <col min="8" max="8" width="12.42578125" bestFit="1" customWidth="1"/>
    <col min="12" max="12" width="13" customWidth="1"/>
    <col min="13" max="13" width="12.42578125" bestFit="1" customWidth="1"/>
  </cols>
  <sheetData>
    <row r="1" spans="1:13" s="2" customFormat="1" ht="18.75" x14ac:dyDescent="0.3">
      <c r="A1" s="106" t="s">
        <v>114</v>
      </c>
    </row>
    <row r="3" spans="1:13" s="9" customFormat="1" x14ac:dyDescent="0.25"/>
    <row r="4" spans="1:13" s="9" customFormat="1" x14ac:dyDescent="0.25"/>
    <row r="5" spans="1:13" s="9" customFormat="1" x14ac:dyDescent="0.25"/>
    <row r="6" spans="1:13" s="9" customFormat="1" x14ac:dyDescent="0.25"/>
    <row r="7" spans="1:13" s="9" customFormat="1" x14ac:dyDescent="0.25"/>
    <row r="8" spans="1:13" s="9" customFormat="1" x14ac:dyDescent="0.25"/>
    <row r="9" spans="1:13" s="9" customFormat="1" ht="15.75" thickBot="1" x14ac:dyDescent="0.3"/>
    <row r="10" spans="1:13" s="9" customFormat="1" x14ac:dyDescent="0.25">
      <c r="A10" s="33" t="s">
        <v>68</v>
      </c>
      <c r="B10" s="34"/>
      <c r="C10" s="34"/>
      <c r="D10" s="35">
        <v>1720</v>
      </c>
    </row>
    <row r="11" spans="1:13" s="9" customFormat="1" ht="15.75" thickBot="1" x14ac:dyDescent="0.3">
      <c r="A11" s="39" t="s">
        <v>69</v>
      </c>
      <c r="B11" s="10"/>
      <c r="C11" s="10"/>
      <c r="D11" s="55">
        <f>D10/12</f>
        <v>143.33333333333334</v>
      </c>
    </row>
    <row r="12" spans="1:13" s="9" customFormat="1" x14ac:dyDescent="0.25">
      <c r="E12" s="95" t="s">
        <v>111</v>
      </c>
      <c r="H12" s="95" t="s">
        <v>113</v>
      </c>
      <c r="J12" s="95" t="s">
        <v>111</v>
      </c>
      <c r="M12" s="95" t="s">
        <v>113</v>
      </c>
    </row>
    <row r="13" spans="1:13" x14ac:dyDescent="0.25">
      <c r="E13" s="170"/>
      <c r="F13" s="171"/>
      <c r="G13" s="172"/>
      <c r="H13" s="105"/>
      <c r="J13" s="170"/>
      <c r="K13" s="171"/>
      <c r="L13" s="172"/>
      <c r="M13" s="105"/>
    </row>
    <row r="14" spans="1:13" x14ac:dyDescent="0.25">
      <c r="E14" s="167" t="s">
        <v>109</v>
      </c>
      <c r="F14" s="168"/>
      <c r="G14" s="168"/>
      <c r="H14" s="169"/>
      <c r="J14" s="167" t="s">
        <v>109</v>
      </c>
      <c r="K14" s="168"/>
      <c r="L14" s="168"/>
      <c r="M14" s="169"/>
    </row>
    <row r="15" spans="1:13" x14ac:dyDescent="0.25">
      <c r="E15" s="92" t="s">
        <v>106</v>
      </c>
      <c r="F15" s="92" t="s">
        <v>107</v>
      </c>
      <c r="G15" s="92" t="s">
        <v>108</v>
      </c>
      <c r="H15" s="92" t="s">
        <v>105</v>
      </c>
      <c r="J15" s="92" t="s">
        <v>106</v>
      </c>
      <c r="K15" s="92" t="s">
        <v>107</v>
      </c>
      <c r="L15" s="92" t="s">
        <v>108</v>
      </c>
      <c r="M15" s="92" t="s">
        <v>105</v>
      </c>
    </row>
    <row r="16" spans="1:13" x14ac:dyDescent="0.25">
      <c r="E16" s="31" t="s">
        <v>93</v>
      </c>
      <c r="F16" s="93">
        <v>1</v>
      </c>
      <c r="G16" s="93">
        <v>1</v>
      </c>
      <c r="H16" s="43">
        <f>$D$11*F16-($D$11*F16*G16)</f>
        <v>0</v>
      </c>
      <c r="J16" s="31" t="s">
        <v>93</v>
      </c>
      <c r="K16" s="93">
        <v>1</v>
      </c>
      <c r="L16" s="93">
        <v>0</v>
      </c>
      <c r="M16" s="43">
        <f>$D$11*K16-($D$11*K16*L16)</f>
        <v>143.33333333333334</v>
      </c>
    </row>
    <row r="17" spans="3:13" x14ac:dyDescent="0.25">
      <c r="E17" s="31" t="s">
        <v>94</v>
      </c>
      <c r="F17" s="93">
        <v>1</v>
      </c>
      <c r="G17" s="93">
        <v>0</v>
      </c>
      <c r="H17" s="43">
        <f>$D$11*F17-($D$11*F17*G17)</f>
        <v>143.33333333333334</v>
      </c>
      <c r="J17" s="31" t="s">
        <v>94</v>
      </c>
      <c r="K17" s="93">
        <v>1</v>
      </c>
      <c r="L17" s="93">
        <v>0</v>
      </c>
      <c r="M17" s="43">
        <f>$D$11*K17-($D$11*K17*L17)</f>
        <v>143.33333333333334</v>
      </c>
    </row>
    <row r="18" spans="3:13" x14ac:dyDescent="0.25">
      <c r="E18" s="31" t="s">
        <v>95</v>
      </c>
      <c r="F18" s="93">
        <v>1</v>
      </c>
      <c r="G18" s="93">
        <v>0</v>
      </c>
      <c r="H18" s="43">
        <f t="shared" ref="H18:H27" si="0">$D$11*F18-($D$11*F18*G18)</f>
        <v>143.33333333333334</v>
      </c>
      <c r="J18" s="31" t="s">
        <v>95</v>
      </c>
      <c r="K18" s="93">
        <v>1</v>
      </c>
      <c r="L18" s="93">
        <v>0</v>
      </c>
      <c r="M18" s="43">
        <f t="shared" ref="M18:M27" si="1">$D$11*K18-($D$11*K18*L18)</f>
        <v>143.33333333333334</v>
      </c>
    </row>
    <row r="19" spans="3:13" x14ac:dyDescent="0.25">
      <c r="E19" s="31" t="s">
        <v>96</v>
      </c>
      <c r="F19" s="93">
        <v>1</v>
      </c>
      <c r="G19" s="93">
        <v>0</v>
      </c>
      <c r="H19" s="43">
        <f t="shared" si="0"/>
        <v>143.33333333333334</v>
      </c>
      <c r="J19" s="31" t="s">
        <v>96</v>
      </c>
      <c r="K19" s="93">
        <v>1</v>
      </c>
      <c r="L19" s="93">
        <v>0</v>
      </c>
      <c r="M19" s="43">
        <f t="shared" si="1"/>
        <v>143.33333333333334</v>
      </c>
    </row>
    <row r="20" spans="3:13" x14ac:dyDescent="0.25">
      <c r="E20" s="31" t="s">
        <v>97</v>
      </c>
      <c r="F20" s="93">
        <v>1</v>
      </c>
      <c r="G20" s="93">
        <v>0</v>
      </c>
      <c r="H20" s="43">
        <f t="shared" si="0"/>
        <v>143.33333333333334</v>
      </c>
      <c r="J20" s="31" t="s">
        <v>97</v>
      </c>
      <c r="K20" s="93">
        <v>1</v>
      </c>
      <c r="L20" s="93">
        <v>0</v>
      </c>
      <c r="M20" s="43">
        <f t="shared" si="1"/>
        <v>143.33333333333334</v>
      </c>
    </row>
    <row r="21" spans="3:13" x14ac:dyDescent="0.25">
      <c r="E21" s="31" t="s">
        <v>98</v>
      </c>
      <c r="F21" s="93">
        <v>1</v>
      </c>
      <c r="G21" s="93">
        <v>0</v>
      </c>
      <c r="H21" s="43">
        <f t="shared" si="0"/>
        <v>143.33333333333334</v>
      </c>
      <c r="J21" s="31" t="s">
        <v>98</v>
      </c>
      <c r="K21" s="93">
        <v>1</v>
      </c>
      <c r="L21" s="93">
        <v>0</v>
      </c>
      <c r="M21" s="43">
        <f t="shared" si="1"/>
        <v>143.33333333333334</v>
      </c>
    </row>
    <row r="22" spans="3:13" x14ac:dyDescent="0.25">
      <c r="E22" s="31" t="s">
        <v>99</v>
      </c>
      <c r="F22" s="93">
        <v>1</v>
      </c>
      <c r="G22" s="93">
        <v>0</v>
      </c>
      <c r="H22" s="43">
        <f t="shared" si="0"/>
        <v>143.33333333333334</v>
      </c>
      <c r="J22" s="31" t="s">
        <v>99</v>
      </c>
      <c r="K22" s="93">
        <v>1</v>
      </c>
      <c r="L22" s="93">
        <v>0</v>
      </c>
      <c r="M22" s="43">
        <f t="shared" si="1"/>
        <v>143.33333333333334</v>
      </c>
    </row>
    <row r="23" spans="3:13" x14ac:dyDescent="0.25">
      <c r="E23" s="31" t="s">
        <v>100</v>
      </c>
      <c r="F23" s="93">
        <v>1</v>
      </c>
      <c r="G23" s="93">
        <v>0</v>
      </c>
      <c r="H23" s="43">
        <f t="shared" si="0"/>
        <v>143.33333333333334</v>
      </c>
      <c r="J23" s="31" t="s">
        <v>100</v>
      </c>
      <c r="K23" s="93">
        <v>1</v>
      </c>
      <c r="L23" s="93">
        <v>0</v>
      </c>
      <c r="M23" s="43">
        <f t="shared" si="1"/>
        <v>143.33333333333334</v>
      </c>
    </row>
    <row r="24" spans="3:13" x14ac:dyDescent="0.25">
      <c r="E24" s="31" t="s">
        <v>101</v>
      </c>
      <c r="F24" s="93">
        <v>1</v>
      </c>
      <c r="G24" s="93">
        <v>0</v>
      </c>
      <c r="H24" s="43">
        <f t="shared" si="0"/>
        <v>143.33333333333334</v>
      </c>
      <c r="J24" s="31" t="s">
        <v>101</v>
      </c>
      <c r="K24" s="93">
        <v>1</v>
      </c>
      <c r="L24" s="93">
        <v>0</v>
      </c>
      <c r="M24" s="43">
        <f t="shared" si="1"/>
        <v>143.33333333333334</v>
      </c>
    </row>
    <row r="25" spans="3:13" x14ac:dyDescent="0.25">
      <c r="E25" s="31" t="s">
        <v>102</v>
      </c>
      <c r="F25" s="93">
        <v>1</v>
      </c>
      <c r="G25" s="93">
        <v>0</v>
      </c>
      <c r="H25" s="43">
        <f t="shared" si="0"/>
        <v>143.33333333333334</v>
      </c>
      <c r="J25" s="31" t="s">
        <v>102</v>
      </c>
      <c r="K25" s="93">
        <v>1</v>
      </c>
      <c r="L25" s="93">
        <v>0</v>
      </c>
      <c r="M25" s="43">
        <f t="shared" si="1"/>
        <v>143.33333333333334</v>
      </c>
    </row>
    <row r="26" spans="3:13" x14ac:dyDescent="0.25">
      <c r="E26" s="31" t="s">
        <v>103</v>
      </c>
      <c r="F26" s="93">
        <v>1</v>
      </c>
      <c r="G26" s="93">
        <v>0</v>
      </c>
      <c r="H26" s="43">
        <f t="shared" si="0"/>
        <v>143.33333333333334</v>
      </c>
      <c r="J26" s="31" t="s">
        <v>103</v>
      </c>
      <c r="K26" s="93">
        <v>1</v>
      </c>
      <c r="L26" s="93">
        <v>0</v>
      </c>
      <c r="M26" s="43">
        <f t="shared" si="1"/>
        <v>143.33333333333334</v>
      </c>
    </row>
    <row r="27" spans="3:13" x14ac:dyDescent="0.25">
      <c r="E27" s="31" t="s">
        <v>104</v>
      </c>
      <c r="F27" s="93">
        <v>1</v>
      </c>
      <c r="G27" s="93">
        <v>0</v>
      </c>
      <c r="H27" s="43">
        <f t="shared" si="0"/>
        <v>143.33333333333334</v>
      </c>
      <c r="J27" s="31" t="s">
        <v>104</v>
      </c>
      <c r="K27" s="93">
        <v>1</v>
      </c>
      <c r="L27" s="93">
        <v>0</v>
      </c>
      <c r="M27" s="43">
        <f t="shared" si="1"/>
        <v>143.33333333333334</v>
      </c>
    </row>
    <row r="28" spans="3:13" x14ac:dyDescent="0.25">
      <c r="C28" s="104"/>
      <c r="E28" s="173" t="s">
        <v>110</v>
      </c>
      <c r="F28" s="174"/>
      <c r="G28" s="175"/>
      <c r="H28" s="96">
        <f>SUM(H16:H27)</f>
        <v>1576.6666666666665</v>
      </c>
      <c r="J28" s="173" t="s">
        <v>110</v>
      </c>
      <c r="K28" s="174"/>
      <c r="L28" s="175"/>
      <c r="M28" s="96">
        <f>SUM(M16:M27)</f>
        <v>1719.9999999999998</v>
      </c>
    </row>
    <row r="30" spans="3:13" x14ac:dyDescent="0.25">
      <c r="E30" s="95" t="s">
        <v>111</v>
      </c>
      <c r="F30" s="9"/>
      <c r="G30" s="9"/>
      <c r="H30" s="95" t="s">
        <v>113</v>
      </c>
      <c r="J30" s="95" t="s">
        <v>111</v>
      </c>
      <c r="K30" s="9"/>
      <c r="L30" s="9"/>
      <c r="M30" s="95" t="s">
        <v>113</v>
      </c>
    </row>
    <row r="31" spans="3:13" x14ac:dyDescent="0.25">
      <c r="E31" s="170"/>
      <c r="F31" s="171"/>
      <c r="G31" s="172"/>
      <c r="H31" s="105"/>
      <c r="J31" s="170"/>
      <c r="K31" s="171"/>
      <c r="L31" s="172"/>
      <c r="M31" s="105"/>
    </row>
    <row r="32" spans="3:13" x14ac:dyDescent="0.25">
      <c r="E32" s="167" t="s">
        <v>109</v>
      </c>
      <c r="F32" s="168"/>
      <c r="G32" s="168"/>
      <c r="H32" s="169"/>
      <c r="J32" s="167" t="s">
        <v>109</v>
      </c>
      <c r="K32" s="168"/>
      <c r="L32" s="168"/>
      <c r="M32" s="169"/>
    </row>
    <row r="33" spans="5:13" x14ac:dyDescent="0.25">
      <c r="E33" s="92" t="s">
        <v>106</v>
      </c>
      <c r="F33" s="92" t="s">
        <v>107</v>
      </c>
      <c r="G33" s="92" t="s">
        <v>108</v>
      </c>
      <c r="H33" s="92" t="s">
        <v>105</v>
      </c>
      <c r="J33" s="92" t="s">
        <v>106</v>
      </c>
      <c r="K33" s="92" t="s">
        <v>107</v>
      </c>
      <c r="L33" s="92" t="s">
        <v>108</v>
      </c>
      <c r="M33" s="92" t="s">
        <v>105</v>
      </c>
    </row>
    <row r="34" spans="5:13" x14ac:dyDescent="0.25">
      <c r="E34" s="31" t="s">
        <v>93</v>
      </c>
      <c r="F34" s="93">
        <v>1</v>
      </c>
      <c r="G34" s="93">
        <v>0</v>
      </c>
      <c r="H34" s="43">
        <f>$D$11*F34-($D$11*F34*G34)</f>
        <v>143.33333333333334</v>
      </c>
      <c r="J34" s="31" t="s">
        <v>93</v>
      </c>
      <c r="K34" s="93">
        <v>1</v>
      </c>
      <c r="L34" s="93">
        <v>0</v>
      </c>
      <c r="M34" s="43">
        <f>$D$11*K34-($D$11*K34*L34)</f>
        <v>143.33333333333334</v>
      </c>
    </row>
    <row r="35" spans="5:13" x14ac:dyDescent="0.25">
      <c r="E35" s="31" t="s">
        <v>94</v>
      </c>
      <c r="F35" s="93">
        <v>1</v>
      </c>
      <c r="G35" s="93">
        <v>0</v>
      </c>
      <c r="H35" s="43">
        <f>$D$11*F35-($D$11*F35*G35)</f>
        <v>143.33333333333334</v>
      </c>
      <c r="J35" s="31" t="s">
        <v>94</v>
      </c>
      <c r="K35" s="93">
        <v>1</v>
      </c>
      <c r="L35" s="93">
        <v>0</v>
      </c>
      <c r="M35" s="43">
        <f>$D$11*K35-($D$11*K35*L35)</f>
        <v>143.33333333333334</v>
      </c>
    </row>
    <row r="36" spans="5:13" x14ac:dyDescent="0.25">
      <c r="E36" s="31" t="s">
        <v>95</v>
      </c>
      <c r="F36" s="93">
        <v>1</v>
      </c>
      <c r="G36" s="93">
        <v>0</v>
      </c>
      <c r="H36" s="43">
        <f t="shared" ref="H36:H45" si="2">$D$11*F36-($D$11*F36*G36)</f>
        <v>143.33333333333334</v>
      </c>
      <c r="J36" s="31" t="s">
        <v>95</v>
      </c>
      <c r="K36" s="93">
        <v>1</v>
      </c>
      <c r="L36" s="93">
        <v>0</v>
      </c>
      <c r="M36" s="43">
        <f t="shared" ref="M36:M45" si="3">$D$11*K36-($D$11*K36*L36)</f>
        <v>143.33333333333334</v>
      </c>
    </row>
    <row r="37" spans="5:13" x14ac:dyDescent="0.25">
      <c r="E37" s="31" t="s">
        <v>96</v>
      </c>
      <c r="F37" s="93">
        <v>1</v>
      </c>
      <c r="G37" s="93">
        <v>0</v>
      </c>
      <c r="H37" s="43">
        <f t="shared" si="2"/>
        <v>143.33333333333334</v>
      </c>
      <c r="J37" s="31" t="s">
        <v>96</v>
      </c>
      <c r="K37" s="93">
        <v>1</v>
      </c>
      <c r="L37" s="93">
        <v>0</v>
      </c>
      <c r="M37" s="43">
        <f t="shared" si="3"/>
        <v>143.33333333333334</v>
      </c>
    </row>
    <row r="38" spans="5:13" x14ac:dyDescent="0.25">
      <c r="E38" s="31" t="s">
        <v>97</v>
      </c>
      <c r="F38" s="93">
        <v>1</v>
      </c>
      <c r="G38" s="93">
        <v>0</v>
      </c>
      <c r="H38" s="43">
        <f t="shared" si="2"/>
        <v>143.33333333333334</v>
      </c>
      <c r="J38" s="31" t="s">
        <v>97</v>
      </c>
      <c r="K38" s="93">
        <v>1</v>
      </c>
      <c r="L38" s="93">
        <v>0</v>
      </c>
      <c r="M38" s="43">
        <f t="shared" si="3"/>
        <v>143.33333333333334</v>
      </c>
    </row>
    <row r="39" spans="5:13" x14ac:dyDescent="0.25">
      <c r="E39" s="31" t="s">
        <v>98</v>
      </c>
      <c r="F39" s="93">
        <v>1</v>
      </c>
      <c r="G39" s="93">
        <v>0</v>
      </c>
      <c r="H39" s="43">
        <f t="shared" si="2"/>
        <v>143.33333333333334</v>
      </c>
      <c r="J39" s="31" t="s">
        <v>98</v>
      </c>
      <c r="K39" s="93">
        <v>1</v>
      </c>
      <c r="L39" s="93">
        <v>0</v>
      </c>
      <c r="M39" s="43">
        <f t="shared" si="3"/>
        <v>143.33333333333334</v>
      </c>
    </row>
    <row r="40" spans="5:13" x14ac:dyDescent="0.25">
      <c r="E40" s="31" t="s">
        <v>99</v>
      </c>
      <c r="F40" s="93">
        <v>1</v>
      </c>
      <c r="G40" s="93">
        <v>0</v>
      </c>
      <c r="H40" s="43">
        <f t="shared" si="2"/>
        <v>143.33333333333334</v>
      </c>
      <c r="J40" s="31" t="s">
        <v>99</v>
      </c>
      <c r="K40" s="93">
        <v>1</v>
      </c>
      <c r="L40" s="93">
        <v>0</v>
      </c>
      <c r="M40" s="43">
        <f t="shared" si="3"/>
        <v>143.33333333333334</v>
      </c>
    </row>
    <row r="41" spans="5:13" x14ac:dyDescent="0.25">
      <c r="E41" s="31" t="s">
        <v>100</v>
      </c>
      <c r="F41" s="93">
        <v>1</v>
      </c>
      <c r="G41" s="93">
        <v>0</v>
      </c>
      <c r="H41" s="43">
        <f t="shared" si="2"/>
        <v>143.33333333333334</v>
      </c>
      <c r="J41" s="31" t="s">
        <v>100</v>
      </c>
      <c r="K41" s="93">
        <v>1</v>
      </c>
      <c r="L41" s="93">
        <v>0</v>
      </c>
      <c r="M41" s="43">
        <f t="shared" si="3"/>
        <v>143.33333333333334</v>
      </c>
    </row>
    <row r="42" spans="5:13" x14ac:dyDescent="0.25">
      <c r="E42" s="31" t="s">
        <v>101</v>
      </c>
      <c r="F42" s="93">
        <v>1</v>
      </c>
      <c r="G42" s="93">
        <v>0</v>
      </c>
      <c r="H42" s="43">
        <f t="shared" si="2"/>
        <v>143.33333333333334</v>
      </c>
      <c r="J42" s="31" t="s">
        <v>101</v>
      </c>
      <c r="K42" s="93">
        <v>1</v>
      </c>
      <c r="L42" s="93">
        <v>0</v>
      </c>
      <c r="M42" s="43">
        <f t="shared" si="3"/>
        <v>143.33333333333334</v>
      </c>
    </row>
    <row r="43" spans="5:13" x14ac:dyDescent="0.25">
      <c r="E43" s="31" t="s">
        <v>102</v>
      </c>
      <c r="F43" s="93">
        <v>1</v>
      </c>
      <c r="G43" s="93">
        <v>0</v>
      </c>
      <c r="H43" s="43">
        <f t="shared" si="2"/>
        <v>143.33333333333334</v>
      </c>
      <c r="J43" s="31" t="s">
        <v>102</v>
      </c>
      <c r="K43" s="93">
        <v>1</v>
      </c>
      <c r="L43" s="93">
        <v>0</v>
      </c>
      <c r="M43" s="43">
        <f t="shared" si="3"/>
        <v>143.33333333333334</v>
      </c>
    </row>
    <row r="44" spans="5:13" x14ac:dyDescent="0.25">
      <c r="E44" s="31" t="s">
        <v>103</v>
      </c>
      <c r="F44" s="93">
        <v>1</v>
      </c>
      <c r="G44" s="93">
        <v>0</v>
      </c>
      <c r="H44" s="43">
        <f t="shared" si="2"/>
        <v>143.33333333333334</v>
      </c>
      <c r="J44" s="31" t="s">
        <v>103</v>
      </c>
      <c r="K44" s="93">
        <v>1</v>
      </c>
      <c r="L44" s="93">
        <v>0</v>
      </c>
      <c r="M44" s="43">
        <f t="shared" si="3"/>
        <v>143.33333333333334</v>
      </c>
    </row>
    <row r="45" spans="5:13" x14ac:dyDescent="0.25">
      <c r="E45" s="31" t="s">
        <v>104</v>
      </c>
      <c r="F45" s="93">
        <v>1</v>
      </c>
      <c r="G45" s="93">
        <v>0</v>
      </c>
      <c r="H45" s="43">
        <f t="shared" si="2"/>
        <v>143.33333333333334</v>
      </c>
      <c r="J45" s="31" t="s">
        <v>104</v>
      </c>
      <c r="K45" s="93">
        <v>1</v>
      </c>
      <c r="L45" s="93">
        <v>0</v>
      </c>
      <c r="M45" s="43">
        <f t="shared" si="3"/>
        <v>143.33333333333334</v>
      </c>
    </row>
    <row r="46" spans="5:13" x14ac:dyDescent="0.25">
      <c r="E46" s="173" t="s">
        <v>110</v>
      </c>
      <c r="F46" s="174"/>
      <c r="G46" s="175"/>
      <c r="H46" s="96">
        <f>SUM(H34:H45)</f>
        <v>1719.9999999999998</v>
      </c>
      <c r="J46" s="173" t="s">
        <v>110</v>
      </c>
      <c r="K46" s="174"/>
      <c r="L46" s="175"/>
      <c r="M46" s="96">
        <f>SUM(M34:M45)</f>
        <v>1719.9999999999998</v>
      </c>
    </row>
  </sheetData>
  <mergeCells count="12">
    <mergeCell ref="E31:G31"/>
    <mergeCell ref="E32:H32"/>
    <mergeCell ref="E46:G46"/>
    <mergeCell ref="J31:L31"/>
    <mergeCell ref="J32:M32"/>
    <mergeCell ref="J46:L46"/>
    <mergeCell ref="E14:H14"/>
    <mergeCell ref="E13:G13"/>
    <mergeCell ref="E28:G28"/>
    <mergeCell ref="J13:L13"/>
    <mergeCell ref="J14:M14"/>
    <mergeCell ref="J28:L2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election activeCell="E8" sqref="E8:E9"/>
    </sheetView>
  </sheetViews>
  <sheetFormatPr defaultRowHeight="15" x14ac:dyDescent="0.2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Q26"/>
  <sheetViews>
    <sheetView zoomScale="85" zoomScaleNormal="85" workbookViewId="0">
      <selection activeCell="E8" sqref="E8:E9"/>
    </sheetView>
  </sheetViews>
  <sheetFormatPr defaultColWidth="11.42578125" defaultRowHeight="15" x14ac:dyDescent="0.25"/>
  <cols>
    <col min="1" max="1" width="15.28515625" style="9" bestFit="1" customWidth="1"/>
    <col min="2" max="2" width="2.7109375" style="9" customWidth="1"/>
    <col min="3" max="4" width="23.85546875" style="9" customWidth="1"/>
    <col min="5" max="5" width="29.85546875" style="9" customWidth="1"/>
    <col min="6" max="6" width="27" style="9" customWidth="1"/>
    <col min="7" max="8" width="22" style="9" customWidth="1"/>
    <col min="9" max="9" width="21" style="9" customWidth="1"/>
    <col min="10" max="10" width="10.140625" style="9" customWidth="1"/>
    <col min="11" max="11" width="11.42578125" style="9"/>
    <col min="12" max="13" width="0" style="9" hidden="1" customWidth="1"/>
    <col min="14" max="14" width="16.140625" style="9" hidden="1" customWidth="1"/>
    <col min="15" max="17" width="0" style="9" hidden="1" customWidth="1"/>
    <col min="18" max="16384" width="11.42578125" style="9"/>
  </cols>
  <sheetData>
    <row r="1" spans="1:17" x14ac:dyDescent="0.25">
      <c r="C1" s="77" t="s">
        <v>84</v>
      </c>
      <c r="D1" s="33"/>
      <c r="E1" s="125" t="s">
        <v>81</v>
      </c>
      <c r="F1" s="126"/>
      <c r="G1" s="126"/>
      <c r="H1" s="101"/>
    </row>
    <row r="2" spans="1:17" ht="15.75" thickBot="1" x14ac:dyDescent="0.3">
      <c r="C2" s="80"/>
      <c r="D2" s="88"/>
      <c r="E2" s="127"/>
      <c r="F2" s="128"/>
      <c r="G2" s="128"/>
      <c r="H2" s="102"/>
    </row>
    <row r="3" spans="1:17" ht="15.75" thickBot="1" x14ac:dyDescent="0.3">
      <c r="C3" s="77" t="s">
        <v>82</v>
      </c>
      <c r="D3" s="7"/>
    </row>
    <row r="4" spans="1:17" ht="15.75" thickBot="1" x14ac:dyDescent="0.3">
      <c r="C4" s="80">
        <v>1</v>
      </c>
      <c r="D4" s="89"/>
      <c r="F4" s="33" t="s">
        <v>68</v>
      </c>
      <c r="G4" s="34"/>
      <c r="H4" s="34"/>
      <c r="I4" s="35">
        <v>1720</v>
      </c>
    </row>
    <row r="5" spans="1:17" ht="15.75" thickBot="1" x14ac:dyDescent="0.3">
      <c r="F5" s="39" t="s">
        <v>69</v>
      </c>
      <c r="G5" s="10"/>
      <c r="H5" s="10"/>
      <c r="I5" s="55">
        <f>I4/12</f>
        <v>143.33333333333334</v>
      </c>
      <c r="L5" s="9">
        <v>1</v>
      </c>
    </row>
    <row r="6" spans="1:17" x14ac:dyDescent="0.25">
      <c r="F6" s="75" t="s">
        <v>80</v>
      </c>
      <c r="G6" s="7"/>
      <c r="H6" s="7"/>
      <c r="L6" s="9">
        <v>2</v>
      </c>
    </row>
    <row r="7" spans="1:17" ht="15.75" thickBot="1" x14ac:dyDescent="0.3">
      <c r="F7" s="7"/>
      <c r="G7" s="7"/>
      <c r="H7" s="7"/>
      <c r="L7" s="9">
        <v>3</v>
      </c>
    </row>
    <row r="8" spans="1:17" ht="45.75" customHeight="1" thickBot="1" x14ac:dyDescent="0.3">
      <c r="A8" s="129" t="s">
        <v>88</v>
      </c>
      <c r="B8" s="132"/>
      <c r="C8" s="135" t="s">
        <v>90</v>
      </c>
      <c r="D8" s="135" t="s">
        <v>83</v>
      </c>
      <c r="E8" s="135" t="s">
        <v>117</v>
      </c>
      <c r="F8" s="90" t="s">
        <v>70</v>
      </c>
      <c r="G8" s="137" t="s">
        <v>91</v>
      </c>
      <c r="H8" s="135" t="s">
        <v>72</v>
      </c>
      <c r="I8" s="135" t="s">
        <v>112</v>
      </c>
      <c r="J8" s="135" t="s">
        <v>77</v>
      </c>
      <c r="N8" s="167" t="s">
        <v>109</v>
      </c>
      <c r="O8" s="168"/>
      <c r="P8" s="168"/>
      <c r="Q8" s="169"/>
    </row>
    <row r="9" spans="1:17" ht="15.75" thickBot="1" x14ac:dyDescent="0.3">
      <c r="A9" s="130"/>
      <c r="B9" s="133"/>
      <c r="C9" s="136"/>
      <c r="D9" s="136"/>
      <c r="E9" s="136"/>
      <c r="F9" s="49" t="s">
        <v>64</v>
      </c>
      <c r="G9" s="138"/>
      <c r="H9" s="136"/>
      <c r="I9" s="136"/>
      <c r="J9" s="136"/>
      <c r="N9" s="92" t="s">
        <v>106</v>
      </c>
      <c r="O9" s="92" t="s">
        <v>107</v>
      </c>
      <c r="P9" s="92" t="s">
        <v>108</v>
      </c>
      <c r="Q9" s="92" t="s">
        <v>105</v>
      </c>
    </row>
    <row r="10" spans="1:17" x14ac:dyDescent="0.25">
      <c r="A10" s="130"/>
      <c r="B10" s="133"/>
      <c r="C10" s="99">
        <v>2017</v>
      </c>
      <c r="D10" s="61">
        <v>600000</v>
      </c>
      <c r="E10" s="61"/>
      <c r="F10" s="62">
        <v>0.8</v>
      </c>
      <c r="G10" s="63">
        <v>12</v>
      </c>
      <c r="H10" s="54">
        <f>IFERROR(I$5*F10*G10,"")</f>
        <v>1376.0000000000002</v>
      </c>
      <c r="I10" s="94"/>
      <c r="J10" s="54">
        <f>IF(I10="",D10/H10,E17/I10)</f>
        <v>436.04651162790691</v>
      </c>
      <c r="N10" s="31" t="s">
        <v>93</v>
      </c>
      <c r="O10" s="93">
        <v>0.5</v>
      </c>
      <c r="P10" s="93">
        <v>0.5</v>
      </c>
      <c r="Q10" s="43">
        <f>$I$5*O10-($I$5*O10*P10)</f>
        <v>35.833333333333336</v>
      </c>
    </row>
    <row r="11" spans="1:17" x14ac:dyDescent="0.25">
      <c r="A11" s="130"/>
      <c r="B11" s="133"/>
      <c r="C11" s="99">
        <v>2018</v>
      </c>
      <c r="D11" s="61">
        <v>700000</v>
      </c>
      <c r="E11" s="61"/>
      <c r="F11" s="62">
        <v>1</v>
      </c>
      <c r="G11" s="63">
        <v>12</v>
      </c>
      <c r="H11" s="54">
        <f>IFERROR(I$5*F11*G11,"")</f>
        <v>1720</v>
      </c>
      <c r="I11" s="94"/>
      <c r="J11" s="54">
        <f>IF(I11="",D11/H11,E18/I11)</f>
        <v>406.97674418604652</v>
      </c>
      <c r="N11" s="31" t="s">
        <v>94</v>
      </c>
      <c r="O11" s="93">
        <v>0.5</v>
      </c>
      <c r="P11" s="93">
        <v>0.5</v>
      </c>
      <c r="Q11" s="43">
        <f t="shared" ref="P11:Q21" si="0">$I$5*O11-($I$5*O11*P11)</f>
        <v>35.833333333333336</v>
      </c>
    </row>
    <row r="12" spans="1:17" ht="15.75" thickBot="1" x14ac:dyDescent="0.3">
      <c r="A12" s="131"/>
      <c r="B12" s="134"/>
      <c r="C12" s="99">
        <v>2018</v>
      </c>
      <c r="D12" s="61">
        <v>700000</v>
      </c>
      <c r="E12" s="61"/>
      <c r="F12" s="62">
        <v>1</v>
      </c>
      <c r="G12" s="63">
        <v>12</v>
      </c>
      <c r="H12" s="54">
        <f>IFERROR(I$5*F12*G12,"")</f>
        <v>1720</v>
      </c>
      <c r="I12" s="94"/>
      <c r="J12" s="54">
        <f>IF(I12="",D12/H12,E19/I12)</f>
        <v>406.97674418604652</v>
      </c>
      <c r="N12" s="31" t="s">
        <v>95</v>
      </c>
      <c r="O12" s="93">
        <v>0.5</v>
      </c>
      <c r="P12" s="93">
        <v>0.5</v>
      </c>
      <c r="Q12" s="43">
        <f t="shared" si="0"/>
        <v>35.833333333333336</v>
      </c>
    </row>
    <row r="13" spans="1:17" ht="15.75" thickBot="1" x14ac:dyDescent="0.3">
      <c r="A13" s="10"/>
      <c r="B13" s="10"/>
      <c r="C13" s="10"/>
      <c r="D13" s="10"/>
      <c r="E13" s="10"/>
      <c r="F13" s="10"/>
      <c r="G13" s="10"/>
      <c r="H13" s="10"/>
      <c r="I13" s="10"/>
      <c r="M13" s="31" t="s">
        <v>96</v>
      </c>
      <c r="N13" s="93">
        <v>0.5</v>
      </c>
      <c r="O13" s="93">
        <v>0.5</v>
      </c>
      <c r="P13" s="43">
        <f t="shared" si="0"/>
        <v>35.833333333333336</v>
      </c>
    </row>
    <row r="14" spans="1:17" ht="15.75" thickBot="1" x14ac:dyDescent="0.3">
      <c r="M14" s="31" t="s">
        <v>97</v>
      </c>
      <c r="N14" s="93">
        <v>0.5</v>
      </c>
      <c r="O14" s="93">
        <v>1</v>
      </c>
      <c r="P14" s="43">
        <f t="shared" si="0"/>
        <v>0</v>
      </c>
    </row>
    <row r="15" spans="1:17" ht="15" customHeight="1" x14ac:dyDescent="0.25">
      <c r="A15" s="129" t="s">
        <v>87</v>
      </c>
      <c r="C15" s="135" t="s">
        <v>89</v>
      </c>
      <c r="D15" s="145" t="s">
        <v>74</v>
      </c>
      <c r="E15" s="135" t="s">
        <v>92</v>
      </c>
      <c r="F15" s="137" t="s">
        <v>115</v>
      </c>
      <c r="G15" s="137" t="s">
        <v>67</v>
      </c>
      <c r="H15" s="143" t="s">
        <v>116</v>
      </c>
      <c r="M15" s="31" t="s">
        <v>98</v>
      </c>
      <c r="N15" s="93">
        <v>0.5</v>
      </c>
      <c r="O15" s="93">
        <v>1</v>
      </c>
      <c r="P15" s="43">
        <f t="shared" si="0"/>
        <v>0</v>
      </c>
    </row>
    <row r="16" spans="1:17" ht="15.75" thickBot="1" x14ac:dyDescent="0.3">
      <c r="A16" s="130"/>
      <c r="C16" s="136"/>
      <c r="D16" s="146"/>
      <c r="E16" s="136"/>
      <c r="F16" s="138"/>
      <c r="G16" s="138"/>
      <c r="H16" s="144"/>
      <c r="M16" s="31" t="s">
        <v>99</v>
      </c>
      <c r="N16" s="93">
        <v>1</v>
      </c>
      <c r="O16" s="93">
        <v>1</v>
      </c>
      <c r="P16" s="43">
        <f t="shared" si="0"/>
        <v>0</v>
      </c>
    </row>
    <row r="17" spans="1:17" x14ac:dyDescent="0.25">
      <c r="A17" s="130"/>
      <c r="C17" s="100">
        <f>C10</f>
        <v>2017</v>
      </c>
      <c r="D17" s="103">
        <v>600</v>
      </c>
      <c r="E17" s="61">
        <v>600000</v>
      </c>
      <c r="F17" s="53">
        <f>IFERROR(IF((D17*J10)&gt;(E17),(E17),D17*J10),"")</f>
        <v>261627.90697674415</v>
      </c>
      <c r="G17" s="60">
        <v>10</v>
      </c>
      <c r="H17" s="53">
        <f>IFERROR(F17/G17,"")</f>
        <v>26162.790697674416</v>
      </c>
      <c r="M17" s="31" t="s">
        <v>100</v>
      </c>
      <c r="N17" s="93">
        <v>1</v>
      </c>
      <c r="O17" s="93">
        <v>1</v>
      </c>
      <c r="P17" s="43">
        <f t="shared" si="0"/>
        <v>0</v>
      </c>
    </row>
    <row r="18" spans="1:17" x14ac:dyDescent="0.25">
      <c r="A18" s="130"/>
      <c r="C18" s="100">
        <f t="shared" ref="C18" si="1">C11</f>
        <v>2018</v>
      </c>
      <c r="D18" s="103">
        <v>688</v>
      </c>
      <c r="E18" s="61">
        <v>400000</v>
      </c>
      <c r="F18" s="53">
        <f>IFERROR(IF((D18*J11)&gt;(E18),(E18),D18*J11),"")</f>
        <v>280000</v>
      </c>
      <c r="G18" s="60">
        <v>10</v>
      </c>
      <c r="H18" s="53">
        <f>IFERROR(F18/G18,"")</f>
        <v>28000</v>
      </c>
      <c r="M18" s="31" t="s">
        <v>101</v>
      </c>
      <c r="N18" s="93">
        <v>1</v>
      </c>
      <c r="O18" s="93">
        <v>1</v>
      </c>
      <c r="P18" s="43">
        <f t="shared" si="0"/>
        <v>0</v>
      </c>
    </row>
    <row r="19" spans="1:17" ht="15.75" thickBot="1" x14ac:dyDescent="0.3">
      <c r="A19" s="131"/>
      <c r="C19" s="100">
        <f>C12+1</f>
        <v>2019</v>
      </c>
      <c r="D19" s="103">
        <v>516</v>
      </c>
      <c r="E19" s="61">
        <v>350000</v>
      </c>
      <c r="F19" s="53">
        <f>IFERROR(IF((D19*J12)&gt;(E19),(E19),D19*J12),"")</f>
        <v>210000</v>
      </c>
      <c r="G19" s="60">
        <v>10</v>
      </c>
      <c r="H19" s="53">
        <f>IFERROR(F19/G19,"")</f>
        <v>21000</v>
      </c>
      <c r="M19" s="31" t="s">
        <v>102</v>
      </c>
      <c r="N19" s="93">
        <v>1</v>
      </c>
      <c r="O19" s="93">
        <v>1</v>
      </c>
      <c r="P19" s="43">
        <f t="shared" si="0"/>
        <v>0</v>
      </c>
    </row>
    <row r="20" spans="1:17" x14ac:dyDescent="0.25">
      <c r="M20" s="31" t="s">
        <v>103</v>
      </c>
      <c r="N20" s="93">
        <v>1</v>
      </c>
      <c r="O20" s="93">
        <v>1</v>
      </c>
      <c r="P20" s="43">
        <f t="shared" si="0"/>
        <v>0</v>
      </c>
    </row>
    <row r="21" spans="1:17" ht="15.75" customHeight="1" x14ac:dyDescent="0.25">
      <c r="M21" s="31" t="s">
        <v>104</v>
      </c>
      <c r="N21" s="93">
        <v>1</v>
      </c>
      <c r="O21" s="93">
        <v>1</v>
      </c>
      <c r="P21" s="43">
        <f t="shared" si="0"/>
        <v>0</v>
      </c>
    </row>
    <row r="22" spans="1:17" x14ac:dyDescent="0.25">
      <c r="P22" s="91">
        <f>SUM(P10:P21)</f>
        <v>37.333333333333336</v>
      </c>
      <c r="Q22" s="9" t="s">
        <v>32</v>
      </c>
    </row>
    <row r="23" spans="1:17" x14ac:dyDescent="0.25">
      <c r="E23" s="4"/>
    </row>
    <row r="26" spans="1:17" ht="15" customHeight="1" x14ac:dyDescent="0.25"/>
  </sheetData>
  <mergeCells count="18">
    <mergeCell ref="H15:H16"/>
    <mergeCell ref="H8:H9"/>
    <mergeCell ref="I8:I9"/>
    <mergeCell ref="J8:J9"/>
    <mergeCell ref="N8:Q8"/>
    <mergeCell ref="G15:G16"/>
    <mergeCell ref="E1:G2"/>
    <mergeCell ref="A8:A12"/>
    <mergeCell ref="B8:B12"/>
    <mergeCell ref="C8:C9"/>
    <mergeCell ref="D8:D9"/>
    <mergeCell ref="E8:E9"/>
    <mergeCell ref="G8:G9"/>
    <mergeCell ref="A15:A19"/>
    <mergeCell ref="C15:C16"/>
    <mergeCell ref="D15:D16"/>
    <mergeCell ref="E15:E16"/>
    <mergeCell ref="F15:F16"/>
  </mergeCells>
  <hyperlinks>
    <hyperlink ref="F6" r:id="rId1"/>
  </hyperlinks>
  <pageMargins left="0.7" right="0.7" top="0.75" bottom="0.75" header="0.3" footer="0.3"/>
  <pageSetup paperSize="9" scale="71" fitToHeight="0"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Overordnet avstemming</vt:lpstr>
      <vt:lpstr>Productive H</vt:lpstr>
      <vt:lpstr>Avregning med permisjon</vt:lpstr>
      <vt:lpstr>Rapporteringsperiode 1</vt:lpstr>
      <vt:lpstr>Rapporteringsperiode 1 (2)</vt:lpstr>
      <vt:lpstr>Rapporteringsperiode 1 (3)</vt:lpstr>
      <vt:lpstr>Produktive timer ved sykefravær</vt:lpstr>
      <vt:lpstr>Retningslinjer</vt:lpstr>
      <vt:lpstr>Rapporteringsperiode 1 (5)</vt:lpstr>
      <vt:lpstr>Retningslinjer!_ftn1</vt:lpstr>
      <vt:lpstr>Retningslinjer!_ftn2</vt:lpstr>
      <vt:lpstr>Retningslinjer!_ftnref1</vt:lpstr>
      <vt:lpstr>Retningslinjer!_ftnref2</vt:lpstr>
      <vt:lpstr>'Rapporteringsperiode 1'!valutakalkulator</vt:lpstr>
      <vt:lpstr>'Rapporteringsperiode 1 (2)'!valutakalkulator</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Jørgen Bock</dc:creator>
  <cp:lastModifiedBy>Terje Bakke</cp:lastModifiedBy>
  <cp:lastPrinted>2019-03-12T09:04:33Z</cp:lastPrinted>
  <dcterms:created xsi:type="dcterms:W3CDTF">2016-09-19T13:07:32Z</dcterms:created>
  <dcterms:modified xsi:type="dcterms:W3CDTF">2020-02-24T11:00:41Z</dcterms:modified>
</cp:coreProperties>
</file>