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ingviev_uio_no/Documents/Prosjekter/forskpro/økonomi/"/>
    </mc:Choice>
  </mc:AlternateContent>
  <xr:revisionPtr revIDLastSave="1" documentId="8_{1AB3ED52-BF73-A64B-A453-C4E6474B8E27}" xr6:coauthVersionLast="45" xr6:coauthVersionMax="45" xr10:uidLastSave="{2B2405BC-4D71-E848-8B26-A1A2F75DCD82}"/>
  <bookViews>
    <workbookView xWindow="0" yWindow="460" windowWidth="28800" windowHeight="16560" xr2:uid="{1B594460-DCE6-45F6-9E58-612E4A4CFF9D}"/>
  </bookViews>
  <sheets>
    <sheet name="Timer Web" sheetId="1" r:id="rId1"/>
    <sheet name="Prognose" sheetId="6" r:id="rId2"/>
    <sheet name="Timer totalt" sheetId="5" state="hidden" r:id="rId3"/>
    <sheet name="Regnskap" sheetId="2" r:id="rId4"/>
    <sheet name="Timer Juss og AF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8" i="2" l="1"/>
  <c r="C127" i="2"/>
  <c r="J12" i="1"/>
  <c r="I12" i="1"/>
  <c r="H12" i="1"/>
  <c r="G12" i="1"/>
  <c r="CN32" i="1" l="1"/>
  <c r="CM32" i="1"/>
  <c r="CL32" i="1"/>
  <c r="CK32" i="1"/>
  <c r="CJ32" i="1"/>
  <c r="CI32" i="1"/>
  <c r="CH32" i="1"/>
  <c r="CG32" i="1"/>
  <c r="CC26" i="1"/>
  <c r="CB26" i="1"/>
  <c r="B117" i="2" l="1"/>
  <c r="B118" i="2" s="1"/>
  <c r="B20" i="1"/>
  <c r="B16" i="1"/>
  <c r="C24" i="1"/>
  <c r="AX8" i="3"/>
  <c r="BY27" i="1"/>
  <c r="CF32" i="1"/>
  <c r="CE32" i="1"/>
  <c r="CD32" i="1"/>
  <c r="CC32" i="1"/>
  <c r="CB32" i="1"/>
  <c r="CA32" i="1"/>
  <c r="BZ32" i="1"/>
  <c r="BY32" i="1"/>
  <c r="BX26" i="1"/>
  <c r="BX27" i="1"/>
  <c r="BT26" i="1"/>
  <c r="BW26" i="1"/>
  <c r="BW27" i="1"/>
  <c r="BV26" i="1"/>
  <c r="C117" i="2" l="1"/>
  <c r="C118" i="2" s="1"/>
  <c r="E118" i="2" s="1"/>
  <c r="B107" i="2"/>
  <c r="B112" i="2"/>
  <c r="BX32" i="1"/>
  <c r="CO32" i="1"/>
  <c r="B122" i="2" s="1"/>
  <c r="BW32" i="1"/>
  <c r="BV32" i="1"/>
  <c r="BU32" i="1"/>
  <c r="BT32" i="1"/>
  <c r="BS32" i="1"/>
  <c r="BR32" i="1"/>
  <c r="BO26" i="1"/>
  <c r="BN25" i="1"/>
  <c r="BN26" i="1"/>
  <c r="B123" i="2" l="1"/>
  <c r="C122" i="2"/>
  <c r="C123" i="2" s="1"/>
  <c r="E123" i="2" s="1"/>
  <c r="B113" i="2"/>
  <c r="C112" i="2"/>
  <c r="C113" i="2" s="1"/>
  <c r="E113" i="2" s="1"/>
  <c r="B102" i="2"/>
  <c r="B108" i="2"/>
  <c r="C107" i="2"/>
  <c r="C108" i="2" s="1"/>
  <c r="E108" i="2" s="1"/>
  <c r="BM26" i="1"/>
  <c r="BM27" i="1"/>
  <c r="C27" i="1" s="1"/>
  <c r="C102" i="2" l="1"/>
  <c r="C103" i="2" s="1"/>
  <c r="E103" i="2" s="1"/>
  <c r="B103" i="2"/>
  <c r="BJ26" i="1"/>
  <c r="BK26" i="1"/>
  <c r="BL25" i="1"/>
  <c r="BL26" i="1"/>
  <c r="BP32" i="1" l="1"/>
  <c r="BO32" i="1"/>
  <c r="BN32" i="1"/>
  <c r="BQ21" i="1"/>
  <c r="BM21" i="1"/>
  <c r="BL21" i="1"/>
  <c r="BK21" i="1"/>
  <c r="BJ21" i="1"/>
  <c r="BQ32" i="1"/>
  <c r="B97" i="2" s="1"/>
  <c r="BM32" i="1"/>
  <c r="B92" i="2" s="1"/>
  <c r="B93" i="2" s="1"/>
  <c r="BL32" i="1"/>
  <c r="BK32" i="1"/>
  <c r="BJ32" i="1"/>
  <c r="BI26" i="1"/>
  <c r="B98" i="2" l="1"/>
  <c r="C97" i="2"/>
  <c r="C98" i="2" s="1"/>
  <c r="E98" i="2" s="1"/>
  <c r="C92" i="2"/>
  <c r="C93" i="2" s="1"/>
  <c r="E93" i="2" s="1"/>
  <c r="C10" i="1"/>
  <c r="B46" i="2"/>
  <c r="B40" i="2"/>
  <c r="BF25" i="1" l="1"/>
  <c r="BF26" i="1"/>
  <c r="BG25" i="1"/>
  <c r="BH26" i="1"/>
  <c r="C26" i="1" l="1"/>
  <c r="C30" i="1"/>
  <c r="C29" i="1"/>
  <c r="C28" i="1"/>
  <c r="C17" i="1"/>
  <c r="BB25" i="1" l="1"/>
  <c r="BI21" i="1"/>
  <c r="BH21" i="1"/>
  <c r="BG21" i="1"/>
  <c r="BF21" i="1"/>
  <c r="BE21" i="1"/>
  <c r="BD21" i="1"/>
  <c r="BC21" i="1"/>
  <c r="BB21" i="1"/>
  <c r="BI32" i="1"/>
  <c r="B87" i="2" s="1"/>
  <c r="BQ39" i="1"/>
  <c r="BG32" i="1"/>
  <c r="BH32" i="1"/>
  <c r="BF32" i="1"/>
  <c r="BF39" i="1" s="1"/>
  <c r="BE32" i="1"/>
  <c r="BD32" i="1"/>
  <c r="BC32" i="1"/>
  <c r="BB32" i="1"/>
  <c r="BB39" i="1" s="1"/>
  <c r="BA25" i="1"/>
  <c r="BE39" i="1" l="1"/>
  <c r="BI39" i="1"/>
  <c r="BH39" i="1"/>
  <c r="B81" i="2"/>
  <c r="C81" i="2" s="1"/>
  <c r="BC39" i="1"/>
  <c r="BG39" i="1"/>
  <c r="BD39" i="1"/>
  <c r="B82" i="2"/>
  <c r="C82" i="2" s="1"/>
  <c r="C87" i="2"/>
  <c r="C88" i="2" s="1"/>
  <c r="E88" i="2" s="1"/>
  <c r="B88" i="2"/>
  <c r="BA21" i="1"/>
  <c r="AY21" i="1"/>
  <c r="AX21" i="1"/>
  <c r="AZ19" i="1"/>
  <c r="C19" i="1" s="1"/>
  <c r="AZ18" i="1"/>
  <c r="AX25" i="1"/>
  <c r="AW18" i="1"/>
  <c r="AZ21" i="1" l="1"/>
  <c r="B75" i="2" s="1"/>
  <c r="C83" i="2"/>
  <c r="E83" i="2" s="1"/>
  <c r="B83" i="2"/>
  <c r="AV18" i="1"/>
  <c r="AV21" i="1" s="1"/>
  <c r="AW21" i="1"/>
  <c r="B126" i="2" l="1"/>
  <c r="C126" i="2" s="1"/>
  <c r="B69" i="2"/>
  <c r="AU18" i="1"/>
  <c r="AT18" i="1"/>
  <c r="AS25" i="1" l="1"/>
  <c r="C25" i="1" s="1"/>
  <c r="AS31" i="1"/>
  <c r="C31" i="1" s="1"/>
  <c r="AQ18" i="1" l="1"/>
  <c r="AP18" i="1"/>
  <c r="N11" i="1" l="1"/>
  <c r="N9" i="1"/>
  <c r="M9" i="1"/>
  <c r="L11" i="1"/>
  <c r="L9" i="1"/>
  <c r="BA32" i="1"/>
  <c r="AZ32" i="1"/>
  <c r="AY32" i="1"/>
  <c r="AX32" i="1"/>
  <c r="AW32" i="1"/>
  <c r="AV32" i="1"/>
  <c r="AU32" i="1"/>
  <c r="AT32" i="1"/>
  <c r="AS32" i="1"/>
  <c r="AR32" i="1"/>
  <c r="AP32" i="1"/>
  <c r="AO32" i="1"/>
  <c r="AN32" i="1"/>
  <c r="AM32" i="1"/>
  <c r="AL32" i="1"/>
  <c r="AK32" i="1"/>
  <c r="AQ32" i="1"/>
  <c r="B76" i="2" l="1"/>
  <c r="B64" i="2"/>
  <c r="B58" i="2"/>
  <c r="B70" i="2"/>
  <c r="B52" i="2"/>
  <c r="AU21" i="1"/>
  <c r="AT21" i="1"/>
  <c r="AS21" i="1"/>
  <c r="AR21" i="1"/>
  <c r="AQ21" i="1"/>
  <c r="AP21" i="1"/>
  <c r="AO21" i="1"/>
  <c r="AN21" i="1"/>
  <c r="B63" i="2" l="1"/>
  <c r="E27" i="1"/>
  <c r="F27" i="1" s="1"/>
  <c r="E26" i="1"/>
  <c r="F26" i="1" s="1"/>
  <c r="E25" i="1"/>
  <c r="F25" i="1" s="1"/>
  <c r="B32" i="1"/>
  <c r="AM21" i="1" l="1"/>
  <c r="B57" i="2" s="1"/>
  <c r="AL21" i="1"/>
  <c r="AK21" i="1"/>
  <c r="AG21" i="1"/>
  <c r="AH21" i="1"/>
  <c r="AJ21" i="1"/>
  <c r="AI21" i="1"/>
  <c r="B51" i="2" l="1"/>
  <c r="E30" i="1"/>
  <c r="F30" i="1" s="1"/>
  <c r="E28" i="1"/>
  <c r="F28" i="1" s="1"/>
  <c r="AF21" i="1" l="1"/>
  <c r="AE21" i="1"/>
  <c r="AD21" i="1"/>
  <c r="AC21" i="1"/>
  <c r="B7" i="3"/>
  <c r="B6" i="3"/>
  <c r="B5" i="3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AB12" i="1"/>
  <c r="AA12" i="1"/>
  <c r="Z12" i="1"/>
  <c r="Y12" i="1"/>
  <c r="X12" i="1"/>
  <c r="W12" i="1"/>
  <c r="V12" i="1"/>
  <c r="U12" i="1"/>
  <c r="T12" i="1"/>
  <c r="S12" i="1"/>
  <c r="Q11" i="1"/>
  <c r="Q12" i="1" s="1"/>
  <c r="R12" i="1"/>
  <c r="P12" i="1"/>
  <c r="L12" i="1"/>
  <c r="M12" i="1"/>
  <c r="N12" i="1"/>
  <c r="O12" i="1"/>
  <c r="K12" i="1"/>
  <c r="B4" i="2" s="1"/>
  <c r="C4" i="2" s="1"/>
  <c r="J4" i="1"/>
  <c r="B4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Z15" i="3"/>
  <c r="B15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Z8" i="3"/>
  <c r="E8" i="3"/>
  <c r="D8" i="3"/>
  <c r="F8" i="3"/>
  <c r="B11" i="1"/>
  <c r="B12" i="1" s="1"/>
  <c r="U6" i="1"/>
  <c r="V6" i="1"/>
  <c r="W6" i="1"/>
  <c r="X6" i="1"/>
  <c r="Y6" i="1"/>
  <c r="Q6" i="1"/>
  <c r="R6" i="1"/>
  <c r="S6" i="1"/>
  <c r="T6" i="1"/>
  <c r="B5" i="2"/>
  <c r="C5" i="2" s="1"/>
  <c r="C6" i="2"/>
  <c r="C7" i="2"/>
  <c r="B77" i="2"/>
  <c r="C76" i="2"/>
  <c r="C75" i="2"/>
  <c r="B71" i="2"/>
  <c r="C70" i="2"/>
  <c r="C69" i="2"/>
  <c r="B65" i="2"/>
  <c r="C64" i="2"/>
  <c r="C63" i="2"/>
  <c r="B59" i="2"/>
  <c r="C58" i="2"/>
  <c r="C57" i="2"/>
  <c r="B53" i="2"/>
  <c r="C52" i="2"/>
  <c r="C51" i="2"/>
  <c r="C46" i="2"/>
  <c r="C40" i="2"/>
  <c r="C37" i="2"/>
  <c r="C32" i="2"/>
  <c r="C31" i="2"/>
  <c r="C25" i="2"/>
  <c r="C24" i="2"/>
  <c r="C15" i="2"/>
  <c r="C16" i="2"/>
  <c r="C12" i="3"/>
  <c r="C13" i="3"/>
  <c r="C14" i="3"/>
  <c r="C11" i="3"/>
  <c r="C5" i="3"/>
  <c r="C6" i="3"/>
  <c r="C7" i="3"/>
  <c r="C8" i="3" s="1"/>
  <c r="C5" i="5" s="1"/>
  <c r="C4" i="3"/>
  <c r="D32" i="1"/>
  <c r="D38" i="1" s="1"/>
  <c r="E29" i="1"/>
  <c r="F29" i="1" s="1"/>
  <c r="E24" i="1"/>
  <c r="F24" i="1" s="1"/>
  <c r="C16" i="1"/>
  <c r="E16" i="1" s="1"/>
  <c r="E17" i="1"/>
  <c r="C18" i="1"/>
  <c r="E18" i="1"/>
  <c r="B18" i="1"/>
  <c r="E19" i="1"/>
  <c r="C20" i="1"/>
  <c r="E20" i="1" s="1"/>
  <c r="F20" i="1" s="1"/>
  <c r="C15" i="1"/>
  <c r="E15" i="1" s="1"/>
  <c r="B19" i="1"/>
  <c r="B17" i="1"/>
  <c r="F17" i="1" s="1"/>
  <c r="B15" i="1"/>
  <c r="D21" i="1"/>
  <c r="D37" i="1" s="1"/>
  <c r="D12" i="1"/>
  <c r="D36" i="1"/>
  <c r="C15" i="3"/>
  <c r="C6" i="5"/>
  <c r="C32" i="1"/>
  <c r="C38" i="1" s="1"/>
  <c r="E31" i="1"/>
  <c r="F31" i="1" s="1"/>
  <c r="C5" i="1"/>
  <c r="E5" i="1" s="1"/>
  <c r="C4" i="1"/>
  <c r="E4" i="1" s="1"/>
  <c r="F4" i="1" s="1"/>
  <c r="L6" i="1"/>
  <c r="M6" i="1"/>
  <c r="N6" i="1"/>
  <c r="O6" i="1"/>
  <c r="P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A39" i="1" s="1"/>
  <c r="G6" i="1"/>
  <c r="H6" i="1"/>
  <c r="I6" i="1"/>
  <c r="J6" i="1"/>
  <c r="K6" i="1"/>
  <c r="D6" i="1"/>
  <c r="D35" i="1" s="1"/>
  <c r="B6" i="1"/>
  <c r="B2" i="6" s="1"/>
  <c r="D2" i="6" s="1"/>
  <c r="C11" i="1"/>
  <c r="E11" i="1"/>
  <c r="F11" i="1" s="1"/>
  <c r="E10" i="1"/>
  <c r="F10" i="1" s="1"/>
  <c r="C9" i="1"/>
  <c r="E9" i="1" s="1"/>
  <c r="B5" i="6"/>
  <c r="D5" i="6" s="1"/>
  <c r="B38" i="1"/>
  <c r="B22" i="2" l="1"/>
  <c r="C22" i="2" s="1"/>
  <c r="E12" i="1"/>
  <c r="C3" i="6" s="1"/>
  <c r="E3" i="6" s="1"/>
  <c r="B13" i="2"/>
  <c r="C13" i="2" s="1"/>
  <c r="F15" i="1"/>
  <c r="F19" i="1"/>
  <c r="F18" i="1"/>
  <c r="C71" i="2"/>
  <c r="E71" i="2" s="1"/>
  <c r="B14" i="2"/>
  <c r="C14" i="2" s="1"/>
  <c r="B8" i="3"/>
  <c r="B30" i="2"/>
  <c r="C30" i="2" s="1"/>
  <c r="B3" i="2"/>
  <c r="C3" i="2" s="1"/>
  <c r="C8" i="2" s="1"/>
  <c r="E8" i="2" s="1"/>
  <c r="B23" i="2"/>
  <c r="C23" i="2" s="1"/>
  <c r="C59" i="2"/>
  <c r="E59" i="2" s="1"/>
  <c r="B12" i="2"/>
  <c r="C65" i="2"/>
  <c r="E65" i="2" s="1"/>
  <c r="C53" i="2"/>
  <c r="E53" i="2" s="1"/>
  <c r="C77" i="2"/>
  <c r="E77" i="2" s="1"/>
  <c r="C12" i="1"/>
  <c r="C36" i="1" s="1"/>
  <c r="F9" i="1"/>
  <c r="B35" i="1"/>
  <c r="B21" i="1"/>
  <c r="B37" i="1" s="1"/>
  <c r="F16" i="1"/>
  <c r="B21" i="2"/>
  <c r="C21" i="2" s="1"/>
  <c r="E36" i="1"/>
  <c r="F5" i="1"/>
  <c r="F6" i="1" s="1"/>
  <c r="F35" i="1" s="1"/>
  <c r="E6" i="1"/>
  <c r="B36" i="1"/>
  <c r="B3" i="6"/>
  <c r="D3" i="6" s="1"/>
  <c r="F12" i="1"/>
  <c r="F36" i="1" s="1"/>
  <c r="E21" i="1"/>
  <c r="C6" i="1"/>
  <c r="C35" i="1" s="1"/>
  <c r="E32" i="1"/>
  <c r="C5" i="6" s="1"/>
  <c r="E5" i="6" s="1"/>
  <c r="B45" i="2"/>
  <c r="F32" i="1"/>
  <c r="F38" i="1" s="1"/>
  <c r="B39" i="2"/>
  <c r="C39" i="2" s="1"/>
  <c r="C21" i="1"/>
  <c r="C37" i="1" s="1"/>
  <c r="D39" i="1"/>
  <c r="D4" i="5" s="1"/>
  <c r="D7" i="5" s="1"/>
  <c r="B38" i="2"/>
  <c r="F21" i="1" l="1"/>
  <c r="F37" i="1" s="1"/>
  <c r="F39" i="1" s="1"/>
  <c r="F4" i="5" s="1"/>
  <c r="F7" i="5" s="1"/>
  <c r="B17" i="2"/>
  <c r="B4" i="6"/>
  <c r="D4" i="6" s="1"/>
  <c r="D7" i="6" s="1"/>
  <c r="B39" i="1"/>
  <c r="B4" i="5" s="1"/>
  <c r="B7" i="5" s="1"/>
  <c r="C12" i="2"/>
  <c r="C17" i="2" s="1"/>
  <c r="E17" i="2" s="1"/>
  <c r="B8" i="2"/>
  <c r="C33" i="2"/>
  <c r="E33" i="2" s="1"/>
  <c r="B33" i="2"/>
  <c r="E38" i="1"/>
  <c r="C26" i="2"/>
  <c r="E26" i="2" s="1"/>
  <c r="B26" i="2"/>
  <c r="C2" i="6"/>
  <c r="E35" i="1"/>
  <c r="F3" i="6"/>
  <c r="B47" i="2"/>
  <c r="C45" i="2"/>
  <c r="C47" i="2" s="1"/>
  <c r="E47" i="2" s="1"/>
  <c r="B41" i="2"/>
  <c r="C38" i="2"/>
  <c r="C41" i="2" s="1"/>
  <c r="E41" i="2" s="1"/>
  <c r="C39" i="1"/>
  <c r="C4" i="5" s="1"/>
  <c r="C7" i="5" s="1"/>
  <c r="E37" i="1"/>
  <c r="C4" i="6"/>
  <c r="E4" i="6" s="1"/>
  <c r="F5" i="6"/>
  <c r="F4" i="6" l="1"/>
  <c r="B7" i="6"/>
  <c r="B125" i="2"/>
  <c r="C125" i="2" s="1"/>
  <c r="C128" i="2" s="1"/>
  <c r="E39" i="1"/>
  <c r="E4" i="5" s="1"/>
  <c r="E7" i="5" s="1"/>
  <c r="E2" i="6"/>
  <c r="E7" i="6" s="1"/>
  <c r="C7" i="6"/>
  <c r="F2" i="6" l="1"/>
  <c r="F7" i="6"/>
</calcChain>
</file>

<file path=xl/sharedStrings.xml><?xml version="1.0" encoding="utf-8"?>
<sst xmlns="http://schemas.openxmlformats.org/spreadsheetml/2006/main" count="692" uniqueCount="143">
  <si>
    <t>Timekontroll og prognose</t>
  </si>
  <si>
    <t>Aktiviteter Fase 0</t>
  </si>
  <si>
    <t>Timer budsjett</t>
  </si>
  <si>
    <t>Timer utført</t>
  </si>
  <si>
    <t>Estimert gjenstående</t>
  </si>
  <si>
    <t>Prognose</t>
  </si>
  <si>
    <t>OR/UR</t>
  </si>
  <si>
    <t>Timer utført uke 4</t>
  </si>
  <si>
    <t>Timer utført uke 5</t>
  </si>
  <si>
    <t>Timer utført uke 6</t>
  </si>
  <si>
    <t>Timer utført uke 7</t>
  </si>
  <si>
    <t>Timer utført uke 8</t>
  </si>
  <si>
    <t>Timer utført uke 9</t>
  </si>
  <si>
    <t>Timer utført uke 10</t>
  </si>
  <si>
    <t>Timer utført uke 11</t>
  </si>
  <si>
    <t>Timer utført uke 12</t>
  </si>
  <si>
    <t>Timer utført uke 13</t>
  </si>
  <si>
    <t>Timer utført uke 14</t>
  </si>
  <si>
    <t>Timer utført uke 15</t>
  </si>
  <si>
    <t>Timer utført uke 16</t>
  </si>
  <si>
    <t>Timer utført uke 17</t>
  </si>
  <si>
    <t>Timer utført uke 18</t>
  </si>
  <si>
    <t>Timer utført uke 19</t>
  </si>
  <si>
    <t>Timer utført uke 20</t>
  </si>
  <si>
    <t>Timer utført uke 21</t>
  </si>
  <si>
    <t>Timer utført uke 22</t>
  </si>
  <si>
    <t>Timer utført uke 23</t>
  </si>
  <si>
    <t>Timer utført uke 24</t>
  </si>
  <si>
    <t>Timer utført uke 25</t>
  </si>
  <si>
    <t>Timer utført uke 26</t>
  </si>
  <si>
    <t>Timer utført uke 27</t>
  </si>
  <si>
    <t>Timer utført uke 28</t>
  </si>
  <si>
    <t>Timer utført uke 29</t>
  </si>
  <si>
    <t>Timer utført uke 30</t>
  </si>
  <si>
    <t>Timer utført uke 31</t>
  </si>
  <si>
    <t>Timer utført uke 32</t>
  </si>
  <si>
    <t>Timer utført uke 33</t>
  </si>
  <si>
    <t>Timer utført uke 34</t>
  </si>
  <si>
    <t>Timer utført uke 35</t>
  </si>
  <si>
    <t>Timer utført uke 36</t>
  </si>
  <si>
    <t>Timer utført uke 37</t>
  </si>
  <si>
    <t>Timer utført uke 38</t>
  </si>
  <si>
    <t>Timer utført uke 39</t>
  </si>
  <si>
    <t>Timer utført uke 40</t>
  </si>
  <si>
    <t>Timer utført uke 41</t>
  </si>
  <si>
    <t>Timer utført uke 42</t>
  </si>
  <si>
    <t>Timer utført uke 43</t>
  </si>
  <si>
    <t>Timer utført uke 44</t>
  </si>
  <si>
    <t>Timer utført uke 45</t>
  </si>
  <si>
    <t>Timer utført uke 46</t>
  </si>
  <si>
    <t>Timer utført uke 47</t>
  </si>
  <si>
    <t>Timer utført uke 48</t>
  </si>
  <si>
    <t>Timer utført uke 49</t>
  </si>
  <si>
    <t>Timer utført uke 50</t>
  </si>
  <si>
    <t>Status</t>
  </si>
  <si>
    <t>Prosjektetablering</t>
  </si>
  <si>
    <t>Denne prosessen var mye mindre enn først antatt, brukte derfor mye færre timer.</t>
  </si>
  <si>
    <t>Prosjektledelse</t>
  </si>
  <si>
    <t>Totalt</t>
  </si>
  <si>
    <t>Aktiviteter Fase 1 Prosess 1.1 (GDPR)</t>
  </si>
  <si>
    <t>Kommentar</t>
  </si>
  <si>
    <t>Konseptarbeid/UX</t>
  </si>
  <si>
    <t>måtte gjennom veldig mange utkast. Gjorde også brukertester, som egentlig ikke var lagt inn.</t>
  </si>
  <si>
    <t>Utvikling</t>
  </si>
  <si>
    <t>Aktiviteter Fase 1 Prosess 1.2 (Forskpro)</t>
  </si>
  <si>
    <t>Timer utført uke 51</t>
  </si>
  <si>
    <t>Timer utført uke 52</t>
  </si>
  <si>
    <t>Timer utført uke 1</t>
  </si>
  <si>
    <t>Behovskartlegging</t>
  </si>
  <si>
    <t>Konsept / UX</t>
  </si>
  <si>
    <t>Implementasjon (og revidering)</t>
  </si>
  <si>
    <t>Pilotering og brukertester</t>
  </si>
  <si>
    <t>Innføring</t>
  </si>
  <si>
    <t>setter kanskje mye opp som prosjektledelse når det egentlig er kartlegging?</t>
  </si>
  <si>
    <t>Aktiviteter Fase 2</t>
  </si>
  <si>
    <t>Timer utført uke 2</t>
  </si>
  <si>
    <t>Timer utført uke 3</t>
  </si>
  <si>
    <t>Utrede konsepter</t>
  </si>
  <si>
    <t>2.1. NSD Konseptarbeid/UX</t>
  </si>
  <si>
    <t>2.1. NSD Utvikling</t>
  </si>
  <si>
    <t>2.1. NSD Brukertesting</t>
  </si>
  <si>
    <t>2.2. Konseptarbeid/UX</t>
  </si>
  <si>
    <t>2.2. Utvikling</t>
  </si>
  <si>
    <t>2.2. Brukertesting</t>
  </si>
  <si>
    <t>Prosjektledelse totalt Fase 2</t>
  </si>
  <si>
    <t>Aktiviteter totalt</t>
  </si>
  <si>
    <t>Fase 0</t>
  </si>
  <si>
    <t>Fase 1 Prosess 1.1</t>
  </si>
  <si>
    <t>Fase 1 Prosess 1.2</t>
  </si>
  <si>
    <t>Fase 2</t>
  </si>
  <si>
    <t>Aktivitet</t>
  </si>
  <si>
    <t>Budsjett (timer)</t>
  </si>
  <si>
    <t>Prognose (timer)</t>
  </si>
  <si>
    <t>Budsjett (pris)</t>
  </si>
  <si>
    <t>Prognose (pris)</t>
  </si>
  <si>
    <t>Prosess 1.1</t>
  </si>
  <si>
    <t>Prosess 1.2</t>
  </si>
  <si>
    <t>satt av til reise</t>
  </si>
  <si>
    <t>Budsjettet var 2240 t/ kr 1.496.000 totalt men dette var 2018 og 19-priser. Vi har gjort arbeidet i 2019 og 2020</t>
  </si>
  <si>
    <t>På grunn av dette blir det færre timer i forhold til budsjettet som var satt  i prosjektbeskrivelsen.</t>
  </si>
  <si>
    <t>Det var satt av 50.000 ekstra til reiser. Kan vi bruke det?</t>
  </si>
  <si>
    <t>Webseksjonen</t>
  </si>
  <si>
    <t>Juss</t>
  </si>
  <si>
    <t>AF</t>
  </si>
  <si>
    <t>Januar/Februar (uke 4-9)</t>
  </si>
  <si>
    <t>Antall timer</t>
  </si>
  <si>
    <t>Fakturert beløp</t>
  </si>
  <si>
    <t>Utgifter</t>
  </si>
  <si>
    <t>Balanse</t>
  </si>
  <si>
    <t>Prosess 2.1</t>
  </si>
  <si>
    <t>Prosess 2.2</t>
  </si>
  <si>
    <t>Mars (uke 10-13)</t>
  </si>
  <si>
    <t>April (uke 14-17)</t>
  </si>
  <si>
    <t>Mai (uke 18-22)</t>
  </si>
  <si>
    <t>Juni (uke 23-26)</t>
  </si>
  <si>
    <t>Juli (uke 27-31)</t>
  </si>
  <si>
    <t>August (uke 32-35)</t>
  </si>
  <si>
    <t>September (uke 36-39)</t>
  </si>
  <si>
    <t>Oktober (uke 40-44)</t>
  </si>
  <si>
    <t>November (uke 45-48)</t>
  </si>
  <si>
    <t>Desember (uke 49-50)</t>
  </si>
  <si>
    <t>Januar (uke 1-5)</t>
  </si>
  <si>
    <t>Februar (uke 6-9)</t>
  </si>
  <si>
    <t>April (uke 14-18)</t>
  </si>
  <si>
    <t>Timer</t>
  </si>
  <si>
    <t>Sum</t>
  </si>
  <si>
    <t>Mai (uke 19-22)</t>
  </si>
  <si>
    <t>Sept (uke 36-39)</t>
  </si>
  <si>
    <t>Totalt 2019</t>
  </si>
  <si>
    <t>Totalt 2020</t>
  </si>
  <si>
    <t>Totalt hele prosjektet</t>
  </si>
  <si>
    <t>Aktiviteter Juss</t>
  </si>
  <si>
    <t>Prosent av full stilling</t>
  </si>
  <si>
    <t>uke 202022</t>
  </si>
  <si>
    <t>uke 202024</t>
  </si>
  <si>
    <t>Prosess 1.1 - Utbedringer GDPR</t>
  </si>
  <si>
    <t>Prosess 1.2 - Allforsk</t>
  </si>
  <si>
    <t>Aktiviteter AF</t>
  </si>
  <si>
    <t>estimert gjenstående</t>
  </si>
  <si>
    <t>126,5 timer av prosess 2.1 er gjort i 2019</t>
  </si>
  <si>
    <t>Fase 2 prosess 2.1.</t>
  </si>
  <si>
    <t>17,5 timer av prosess 1.2. er gjort i 2020</t>
  </si>
  <si>
    <t>Se fanen "regnskap"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</si>
</sst>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0.0\ 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3" fillId="4" borderId="2" xfId="0" applyFont="1" applyFill="1" applyBorder="1"/>
    <xf numFmtId="44" fontId="0" fillId="0" borderId="0" xfId="0" applyNumberFormat="1"/>
    <xf numFmtId="44" fontId="3" fillId="4" borderId="2" xfId="0" applyNumberFormat="1" applyFont="1" applyFill="1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Fill="1" applyBorder="1"/>
    <xf numFmtId="44" fontId="3" fillId="0" borderId="0" xfId="0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4" fontId="0" fillId="0" borderId="0" xfId="0" applyNumberFormat="1" applyAlignment="1">
      <alignment vertical="center"/>
    </xf>
    <xf numFmtId="0" fontId="3" fillId="0" borderId="2" xfId="0" applyFont="1" applyBorder="1"/>
    <xf numFmtId="0" fontId="0" fillId="0" borderId="0" xfId="0" applyFill="1"/>
    <xf numFmtId="0" fontId="0" fillId="0" borderId="0" xfId="0" applyFill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1" xfId="0" applyFont="1" applyFill="1" applyBorder="1"/>
    <xf numFmtId="10" fontId="0" fillId="0" borderId="0" xfId="0" applyNumberFormat="1"/>
    <xf numFmtId="10" fontId="3" fillId="4" borderId="2" xfId="0" applyNumberFormat="1" applyFont="1" applyFill="1" applyBorder="1"/>
    <xf numFmtId="9" fontId="3" fillId="0" borderId="2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horizontal="right"/>
    </xf>
    <xf numFmtId="0" fontId="0" fillId="4" borderId="0" xfId="0" applyFill="1" applyBorder="1" applyAlignment="1">
      <alignment horizontal="center" vertical="center" wrapText="1"/>
    </xf>
    <xf numFmtId="9" fontId="0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3" fillId="4" borderId="0" xfId="0" applyFont="1" applyFill="1" applyBorder="1"/>
    <xf numFmtId="44" fontId="3" fillId="4" borderId="0" xfId="0" applyNumberFormat="1" applyFont="1" applyFill="1" applyBorder="1"/>
    <xf numFmtId="0" fontId="3" fillId="5" borderId="0" xfId="0" applyFont="1" applyFill="1" applyBorder="1"/>
    <xf numFmtId="44" fontId="3" fillId="5" borderId="0" xfId="0" applyNumberFormat="1" applyFont="1" applyFill="1" applyBorder="1"/>
    <xf numFmtId="1" fontId="0" fillId="0" borderId="0" xfId="0" applyNumberFormat="1"/>
    <xf numFmtId="0" fontId="4" fillId="0" borderId="0" xfId="0" applyFont="1" applyAlignment="1">
      <alignment horizontal="center" vertical="center"/>
    </xf>
  </cellXfs>
  <cellStyles count="2">
    <cellStyle name="60 % – uthevingsfarge 3" xfId="1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F997-37FC-42AA-9E42-82DC2004ED31}">
  <dimension ref="A1:CP42"/>
  <sheetViews>
    <sheetView tabSelected="1" topLeftCell="A14" zoomScaleNormal="100" workbookViewId="0">
      <selection activeCell="G14" sqref="G1:CG1048576"/>
    </sheetView>
  </sheetViews>
  <sheetFormatPr baseColWidth="10" defaultColWidth="8.5" defaultRowHeight="15" outlineLevelRow="1" outlineLevelCol="1" x14ac:dyDescent="0.2"/>
  <cols>
    <col min="1" max="1" width="40" style="10" customWidth="1"/>
    <col min="2" max="2" width="9.83203125" style="10" customWidth="1"/>
    <col min="3" max="3" width="10.1640625" style="10" customWidth="1"/>
    <col min="4" max="5" width="12.5" style="10" customWidth="1"/>
    <col min="6" max="6" width="8.33203125" style="10" customWidth="1"/>
    <col min="7" max="16" width="8.1640625" style="10" hidden="1" customWidth="1"/>
    <col min="17" max="31" width="8.1640625" style="10" hidden="1" customWidth="1" outlineLevel="1"/>
    <col min="32" max="32" width="7.83203125" style="10" hidden="1" customWidth="1" outlineLevel="1"/>
    <col min="33" max="33" width="8.83203125" style="10" hidden="1" customWidth="1" outlineLevel="1"/>
    <col min="34" max="34" width="8.33203125" style="10" hidden="1" customWidth="1" outlineLevel="1"/>
    <col min="35" max="36" width="9.5" style="10" hidden="1" customWidth="1" outlineLevel="1"/>
    <col min="37" max="37" width="8" style="10" hidden="1" customWidth="1" outlineLevel="1"/>
    <col min="38" max="38" width="8.83203125" style="10" hidden="1" customWidth="1" outlineLevel="1"/>
    <col min="39" max="39" width="8.5" style="10" hidden="1" customWidth="1" outlineLevel="1"/>
    <col min="40" max="40" width="9.33203125" style="10" hidden="1" customWidth="1" outlineLevel="1"/>
    <col min="41" max="41" width="10.5" style="10" hidden="1" customWidth="1" outlineLevel="1"/>
    <col min="42" max="43" width="8.5" style="10" hidden="1" customWidth="1" outlineLevel="1"/>
    <col min="44" max="44" width="10" style="10" hidden="1" customWidth="1" outlineLevel="1"/>
    <col min="45" max="45" width="10.83203125" style="10" hidden="1" customWidth="1" outlineLevel="1"/>
    <col min="46" max="46" width="10.33203125" style="10" hidden="1" customWidth="1" outlineLevel="1"/>
    <col min="47" max="47" width="8.33203125" style="10" hidden="1" customWidth="1" outlineLevel="1"/>
    <col min="48" max="48" width="8.5" style="10" hidden="1" customWidth="1" outlineLevel="1"/>
    <col min="49" max="49" width="7.33203125" style="10" hidden="1" customWidth="1" outlineLevel="1"/>
    <col min="50" max="50" width="10.33203125" style="10" hidden="1" customWidth="1" outlineLevel="1"/>
    <col min="51" max="51" width="9" style="10" hidden="1" customWidth="1" outlineLevel="1"/>
    <col min="52" max="52" width="9.5" style="10" hidden="1" customWidth="1" outlineLevel="1"/>
    <col min="53" max="85" width="12.6640625" style="10" hidden="1" customWidth="1" outlineLevel="1"/>
    <col min="86" max="93" width="12.6640625" style="10" customWidth="1" outlineLevel="1"/>
    <col min="94" max="94" width="47.83203125" style="10" customWidth="1"/>
    <col min="95" max="16384" width="8.5" style="10"/>
  </cols>
  <sheetData>
    <row r="1" spans="1:94" ht="14.5" customHeight="1" x14ac:dyDescent="0.2">
      <c r="A1" s="46" t="s">
        <v>0</v>
      </c>
      <c r="B1" s="46"/>
      <c r="C1" s="46"/>
    </row>
    <row r="2" spans="1:94" ht="14.5" customHeight="1" x14ac:dyDescent="0.2">
      <c r="A2" s="46"/>
      <c r="B2" s="46"/>
      <c r="C2" s="46"/>
    </row>
    <row r="3" spans="1:94" s="5" customFormat="1" ht="48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  <c r="AS3" s="3" t="s">
        <v>45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 t="s">
        <v>54</v>
      </c>
    </row>
    <row r="4" spans="1:94" ht="32" x14ac:dyDescent="0.2">
      <c r="A4" s="21" t="s">
        <v>55</v>
      </c>
      <c r="B4" s="11">
        <v>120</v>
      </c>
      <c r="C4" s="12">
        <f>SUM(G4:BA4)</f>
        <v>45.25</v>
      </c>
      <c r="D4" s="11">
        <v>0</v>
      </c>
      <c r="E4" s="11">
        <f>C4+D4</f>
        <v>45.25</v>
      </c>
      <c r="F4" s="11">
        <f>(E4-B4)</f>
        <v>-74.75</v>
      </c>
      <c r="G4" s="11"/>
      <c r="I4" s="11">
        <v>2</v>
      </c>
      <c r="J4" s="40">
        <f>(2+2+37.75)</f>
        <v>41.75</v>
      </c>
      <c r="K4" s="10">
        <v>0.5</v>
      </c>
      <c r="M4" s="10">
        <v>1</v>
      </c>
      <c r="CP4" s="13" t="s">
        <v>56</v>
      </c>
    </row>
    <row r="5" spans="1:94" s="11" customFormat="1" x14ac:dyDescent="0.2">
      <c r="A5" s="11" t="s">
        <v>57</v>
      </c>
      <c r="B5" s="14">
        <v>30</v>
      </c>
      <c r="C5" s="12">
        <f>SUM(G5:BA5)</f>
        <v>60</v>
      </c>
      <c r="D5" s="14">
        <v>0</v>
      </c>
      <c r="E5" s="11">
        <f t="shared" ref="E5" si="0">C5+D5</f>
        <v>60</v>
      </c>
      <c r="F5" s="11">
        <f t="shared" ref="F5" si="1">(E5-B5)</f>
        <v>30</v>
      </c>
      <c r="G5" s="11">
        <v>9.5</v>
      </c>
      <c r="H5" s="11">
        <v>3.25</v>
      </c>
      <c r="I5" s="11">
        <v>17.75</v>
      </c>
      <c r="J5" s="11">
        <v>22.5</v>
      </c>
      <c r="K5" s="11">
        <v>4</v>
      </c>
      <c r="M5" s="11">
        <v>1.25</v>
      </c>
      <c r="N5" s="11">
        <v>0.75</v>
      </c>
      <c r="P5" s="11">
        <v>1</v>
      </c>
    </row>
    <row r="6" spans="1:94" s="15" customFormat="1" ht="16" thickBot="1" x14ac:dyDescent="0.25">
      <c r="A6" s="15" t="s">
        <v>58</v>
      </c>
      <c r="B6" s="15">
        <f t="shared" ref="B6:AG6" si="2">SUM(B4:B5)</f>
        <v>150</v>
      </c>
      <c r="C6" s="15">
        <f t="shared" si="2"/>
        <v>105.25</v>
      </c>
      <c r="D6" s="15">
        <f t="shared" si="2"/>
        <v>0</v>
      </c>
      <c r="E6" s="15">
        <f t="shared" si="2"/>
        <v>105.25</v>
      </c>
      <c r="F6" s="15">
        <f t="shared" si="2"/>
        <v>-44.75</v>
      </c>
      <c r="G6" s="15">
        <f t="shared" si="2"/>
        <v>9.5</v>
      </c>
      <c r="H6" s="15">
        <f t="shared" si="2"/>
        <v>3.25</v>
      </c>
      <c r="I6" s="15">
        <f t="shared" si="2"/>
        <v>19.75</v>
      </c>
      <c r="J6" s="15">
        <f t="shared" si="2"/>
        <v>64.25</v>
      </c>
      <c r="K6" s="15">
        <f t="shared" si="2"/>
        <v>4.5</v>
      </c>
      <c r="L6" s="15">
        <f t="shared" si="2"/>
        <v>0</v>
      </c>
      <c r="M6" s="15">
        <f t="shared" si="2"/>
        <v>2.25</v>
      </c>
      <c r="N6" s="15">
        <f t="shared" si="2"/>
        <v>0.75</v>
      </c>
      <c r="O6" s="15">
        <f t="shared" si="2"/>
        <v>0</v>
      </c>
      <c r="P6" s="15">
        <f t="shared" si="2"/>
        <v>1</v>
      </c>
      <c r="Q6" s="15">
        <f t="shared" si="2"/>
        <v>0</v>
      </c>
      <c r="R6" s="15">
        <f t="shared" si="2"/>
        <v>0</v>
      </c>
      <c r="S6" s="15">
        <f t="shared" si="2"/>
        <v>0</v>
      </c>
      <c r="T6" s="15">
        <f t="shared" si="2"/>
        <v>0</v>
      </c>
      <c r="U6" s="15">
        <f t="shared" si="2"/>
        <v>0</v>
      </c>
      <c r="V6" s="15">
        <f t="shared" si="2"/>
        <v>0</v>
      </c>
      <c r="W6" s="15">
        <f t="shared" si="2"/>
        <v>0</v>
      </c>
      <c r="X6" s="15">
        <f t="shared" si="2"/>
        <v>0</v>
      </c>
      <c r="Y6" s="15">
        <f t="shared" si="2"/>
        <v>0</v>
      </c>
      <c r="Z6" s="15">
        <f t="shared" si="2"/>
        <v>0</v>
      </c>
      <c r="AA6" s="15">
        <f t="shared" si="2"/>
        <v>0</v>
      </c>
      <c r="AB6" s="15">
        <f t="shared" si="2"/>
        <v>0</v>
      </c>
      <c r="AC6" s="15">
        <f t="shared" si="2"/>
        <v>0</v>
      </c>
      <c r="AD6" s="15">
        <f t="shared" si="2"/>
        <v>0</v>
      </c>
      <c r="AE6" s="15">
        <f t="shared" si="2"/>
        <v>0</v>
      </c>
      <c r="AF6" s="15">
        <f t="shared" si="2"/>
        <v>0</v>
      </c>
      <c r="AG6" s="15">
        <f t="shared" si="2"/>
        <v>0</v>
      </c>
      <c r="AH6" s="15">
        <f t="shared" ref="AH6:BA6" si="3">SUM(AH4:AH5)</f>
        <v>0</v>
      </c>
      <c r="AI6" s="15">
        <f t="shared" si="3"/>
        <v>0</v>
      </c>
      <c r="AJ6" s="15">
        <f t="shared" si="3"/>
        <v>0</v>
      </c>
      <c r="AK6" s="15">
        <f t="shared" si="3"/>
        <v>0</v>
      </c>
      <c r="AL6" s="15">
        <f t="shared" si="3"/>
        <v>0</v>
      </c>
      <c r="AM6" s="15">
        <f t="shared" si="3"/>
        <v>0</v>
      </c>
      <c r="AN6" s="15">
        <f t="shared" si="3"/>
        <v>0</v>
      </c>
      <c r="AO6" s="15">
        <f t="shared" si="3"/>
        <v>0</v>
      </c>
      <c r="AP6" s="15">
        <f t="shared" si="3"/>
        <v>0</v>
      </c>
      <c r="AQ6" s="15">
        <f t="shared" si="3"/>
        <v>0</v>
      </c>
      <c r="AR6" s="15">
        <f t="shared" si="3"/>
        <v>0</v>
      </c>
      <c r="AS6" s="15">
        <f t="shared" si="3"/>
        <v>0</v>
      </c>
      <c r="AT6" s="15">
        <f t="shared" si="3"/>
        <v>0</v>
      </c>
      <c r="AU6" s="15">
        <f t="shared" si="3"/>
        <v>0</v>
      </c>
      <c r="AV6" s="15">
        <f t="shared" si="3"/>
        <v>0</v>
      </c>
      <c r="AW6" s="15">
        <f t="shared" si="3"/>
        <v>0</v>
      </c>
      <c r="AX6" s="15">
        <f t="shared" si="3"/>
        <v>0</v>
      </c>
      <c r="AY6" s="15">
        <f t="shared" si="3"/>
        <v>0</v>
      </c>
      <c r="AZ6" s="15">
        <f t="shared" si="3"/>
        <v>0</v>
      </c>
      <c r="BA6" s="15">
        <f t="shared" si="3"/>
        <v>0</v>
      </c>
    </row>
    <row r="8" spans="1:94" s="5" customFormat="1" ht="48" x14ac:dyDescent="0.2">
      <c r="A8" s="1" t="s">
        <v>59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  <c r="W8" s="3" t="s">
        <v>23</v>
      </c>
      <c r="X8" s="3" t="s">
        <v>24</v>
      </c>
      <c r="Y8" s="3" t="s">
        <v>25</v>
      </c>
      <c r="Z8" s="3" t="s">
        <v>26</v>
      </c>
      <c r="AA8" s="3" t="s">
        <v>27</v>
      </c>
      <c r="AB8" s="3" t="s">
        <v>28</v>
      </c>
      <c r="AC8" s="3" t="s">
        <v>29</v>
      </c>
      <c r="AD8" s="3" t="s">
        <v>30</v>
      </c>
      <c r="AE8" s="3" t="s">
        <v>31</v>
      </c>
      <c r="AF8" s="3" t="s">
        <v>32</v>
      </c>
      <c r="AG8" s="3" t="s">
        <v>33</v>
      </c>
      <c r="AH8" s="3" t="s">
        <v>34</v>
      </c>
      <c r="AI8" s="3" t="s">
        <v>35</v>
      </c>
      <c r="AJ8" s="3" t="s">
        <v>36</v>
      </c>
      <c r="AK8" s="3" t="s">
        <v>37</v>
      </c>
      <c r="AL8" s="3" t="s">
        <v>38</v>
      </c>
      <c r="AM8" s="3" t="s">
        <v>39</v>
      </c>
      <c r="AN8" s="3" t="s">
        <v>40</v>
      </c>
      <c r="AO8" s="3" t="s">
        <v>41</v>
      </c>
      <c r="AP8" s="3" t="s">
        <v>42</v>
      </c>
      <c r="AQ8" s="3" t="s">
        <v>43</v>
      </c>
      <c r="AR8" s="3" t="s">
        <v>44</v>
      </c>
      <c r="AS8" s="3" t="s">
        <v>45</v>
      </c>
      <c r="AT8" s="3" t="s">
        <v>46</v>
      </c>
      <c r="AU8" s="3" t="s">
        <v>47</v>
      </c>
      <c r="AV8" s="3" t="s">
        <v>48</v>
      </c>
      <c r="AW8" s="3" t="s">
        <v>49</v>
      </c>
      <c r="AX8" s="3" t="s">
        <v>50</v>
      </c>
      <c r="AY8" s="3" t="s">
        <v>51</v>
      </c>
      <c r="AZ8" s="3" t="s">
        <v>52</v>
      </c>
      <c r="BA8" s="3" t="s">
        <v>53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 t="s">
        <v>60</v>
      </c>
    </row>
    <row r="9" spans="1:94" s="18" customFormat="1" ht="32" x14ac:dyDescent="0.2">
      <c r="A9" s="22" t="s">
        <v>61</v>
      </c>
      <c r="B9" s="19">
        <v>40</v>
      </c>
      <c r="C9" s="19">
        <f>SUM(G9:BA9)</f>
        <v>87.25</v>
      </c>
      <c r="D9" s="19">
        <v>0</v>
      </c>
      <c r="E9" s="19">
        <f>(C9+D9)</f>
        <v>87.25</v>
      </c>
      <c r="F9" s="19">
        <f>E9-B9</f>
        <v>47.25</v>
      </c>
      <c r="G9" s="19"/>
      <c r="H9" s="19">
        <v>1</v>
      </c>
      <c r="I9" s="19"/>
      <c r="J9" s="19"/>
      <c r="K9" s="19">
        <v>19</v>
      </c>
      <c r="L9" s="19">
        <f>12.5+1+0.5</f>
        <v>14</v>
      </c>
      <c r="M9" s="19">
        <f>10.5+1+1.5</f>
        <v>13</v>
      </c>
      <c r="N9" s="19">
        <f>19.5+0.75+1.25</f>
        <v>21.5</v>
      </c>
      <c r="O9" s="19">
        <v>17.75</v>
      </c>
      <c r="P9" s="19">
        <v>1</v>
      </c>
      <c r="CP9" s="18" t="s">
        <v>62</v>
      </c>
    </row>
    <row r="10" spans="1:94" s="18" customFormat="1" ht="16" x14ac:dyDescent="0.2">
      <c r="A10" s="22" t="s">
        <v>63</v>
      </c>
      <c r="B10" s="19">
        <v>80</v>
      </c>
      <c r="C10" s="19">
        <f>SUM(G10:BA10)</f>
        <v>24</v>
      </c>
      <c r="D10" s="19">
        <v>0</v>
      </c>
      <c r="E10" s="19">
        <f t="shared" ref="E10:E11" si="4">(C10+D10)</f>
        <v>24</v>
      </c>
      <c r="F10" s="19">
        <f t="shared" ref="F10:F11" si="5">E10-B10</f>
        <v>-56</v>
      </c>
      <c r="G10" s="19"/>
      <c r="H10" s="19"/>
      <c r="I10" s="19"/>
      <c r="J10" s="19"/>
      <c r="K10" s="19"/>
      <c r="L10" s="19"/>
      <c r="M10" s="19"/>
      <c r="N10" s="19">
        <v>14.25</v>
      </c>
      <c r="O10" s="19">
        <v>9.25</v>
      </c>
      <c r="P10" s="19"/>
      <c r="Q10" s="18">
        <v>0.5</v>
      </c>
    </row>
    <row r="11" spans="1:94" s="18" customFormat="1" ht="16" x14ac:dyDescent="0.2">
      <c r="A11" s="22" t="s">
        <v>57</v>
      </c>
      <c r="B11" s="19">
        <f>(5*16)</f>
        <v>80</v>
      </c>
      <c r="C11" s="19">
        <f t="shared" ref="C11" si="6">SUM(G11:BA11)</f>
        <v>65.5</v>
      </c>
      <c r="D11" s="19">
        <v>0</v>
      </c>
      <c r="E11" s="19">
        <f t="shared" si="4"/>
        <v>65.5</v>
      </c>
      <c r="F11" s="19">
        <f t="shared" si="5"/>
        <v>-14.5</v>
      </c>
      <c r="G11" s="19">
        <v>10.5</v>
      </c>
      <c r="H11" s="19"/>
      <c r="I11" s="19"/>
      <c r="J11" s="19">
        <v>5</v>
      </c>
      <c r="K11" s="19"/>
      <c r="L11" s="19">
        <f>6.75</f>
        <v>6.75</v>
      </c>
      <c r="M11" s="19">
        <v>23.25</v>
      </c>
      <c r="N11" s="19">
        <f>4+12.5</f>
        <v>16.5</v>
      </c>
      <c r="O11" s="19">
        <v>2</v>
      </c>
      <c r="P11" s="19">
        <v>1</v>
      </c>
      <c r="Q11" s="18">
        <f>SUM(Q9:Q10)</f>
        <v>0.5</v>
      </c>
    </row>
    <row r="12" spans="1:94" s="15" customFormat="1" ht="16" thickBot="1" x14ac:dyDescent="0.25">
      <c r="A12" s="15" t="s">
        <v>58</v>
      </c>
      <c r="B12" s="20">
        <f t="shared" ref="B12:K12" si="7">SUM(B9:B11)</f>
        <v>200</v>
      </c>
      <c r="C12" s="20">
        <f t="shared" si="7"/>
        <v>176.75</v>
      </c>
      <c r="D12" s="20">
        <f t="shared" si="7"/>
        <v>0</v>
      </c>
      <c r="E12" s="20">
        <f t="shared" si="7"/>
        <v>176.75</v>
      </c>
      <c r="F12" s="20">
        <f t="shared" si="7"/>
        <v>-23.25</v>
      </c>
      <c r="G12" s="20">
        <f t="shared" si="7"/>
        <v>10.5</v>
      </c>
      <c r="H12" s="20">
        <f t="shared" si="7"/>
        <v>1</v>
      </c>
      <c r="I12" s="20">
        <f t="shared" si="7"/>
        <v>0</v>
      </c>
      <c r="J12" s="20">
        <f t="shared" si="7"/>
        <v>5</v>
      </c>
      <c r="K12" s="20">
        <f t="shared" si="7"/>
        <v>19</v>
      </c>
      <c r="L12" s="20">
        <f t="shared" ref="L12:O12" si="8">SUM(L9:L11)</f>
        <v>20.75</v>
      </c>
      <c r="M12" s="20">
        <f t="shared" si="8"/>
        <v>36.25</v>
      </c>
      <c r="N12" s="20">
        <f t="shared" si="8"/>
        <v>52.25</v>
      </c>
      <c r="O12" s="20">
        <f t="shared" si="8"/>
        <v>29</v>
      </c>
      <c r="P12" s="20">
        <f>SUM(P9:P11)</f>
        <v>2</v>
      </c>
      <c r="Q12" s="20">
        <f>SUM(Q9:Q11)</f>
        <v>1</v>
      </c>
      <c r="R12" s="20">
        <f>SUM(R9:R11)</f>
        <v>0</v>
      </c>
      <c r="S12" s="20">
        <f>SUM(S9:S11)</f>
        <v>0</v>
      </c>
      <c r="T12" s="20">
        <f t="shared" ref="T12:AB12" si="9">SUM(T9:T11)</f>
        <v>0</v>
      </c>
      <c r="U12" s="20">
        <f t="shared" si="9"/>
        <v>0</v>
      </c>
      <c r="V12" s="20">
        <f t="shared" si="9"/>
        <v>0</v>
      </c>
      <c r="W12" s="20">
        <f t="shared" si="9"/>
        <v>0</v>
      </c>
      <c r="X12" s="20">
        <f t="shared" si="9"/>
        <v>0</v>
      </c>
      <c r="Y12" s="20">
        <f t="shared" si="9"/>
        <v>0</v>
      </c>
      <c r="Z12" s="20">
        <f t="shared" si="9"/>
        <v>0</v>
      </c>
      <c r="AA12" s="20">
        <f t="shared" si="9"/>
        <v>0</v>
      </c>
      <c r="AB12" s="20">
        <f t="shared" si="9"/>
        <v>0</v>
      </c>
    </row>
    <row r="13" spans="1:94" s="23" customFormat="1" ht="16" thickTop="1" x14ac:dyDescent="0.2">
      <c r="B13" s="24"/>
      <c r="C13" s="24"/>
      <c r="D13" s="24"/>
      <c r="E13" s="24"/>
      <c r="F13" s="24"/>
    </row>
    <row r="14" spans="1:94" s="5" customFormat="1" ht="48" outlineLevel="1" x14ac:dyDescent="0.2">
      <c r="A14" s="1" t="s">
        <v>64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3" t="s">
        <v>7</v>
      </c>
      <c r="H14" s="3" t="s">
        <v>8</v>
      </c>
      <c r="I14" s="3" t="s">
        <v>9</v>
      </c>
      <c r="J14" s="3" t="s">
        <v>10</v>
      </c>
      <c r="K14" s="3" t="s">
        <v>11</v>
      </c>
      <c r="L14" s="3" t="s">
        <v>12</v>
      </c>
      <c r="M14" s="3" t="s">
        <v>13</v>
      </c>
      <c r="N14" s="3" t="s">
        <v>14</v>
      </c>
      <c r="O14" s="3" t="s">
        <v>15</v>
      </c>
      <c r="P14" s="3" t="s">
        <v>16</v>
      </c>
      <c r="Q14" s="3" t="s">
        <v>17</v>
      </c>
      <c r="R14" s="3" t="s">
        <v>18</v>
      </c>
      <c r="S14" s="3" t="s">
        <v>19</v>
      </c>
      <c r="T14" s="3" t="s">
        <v>20</v>
      </c>
      <c r="U14" s="3" t="s">
        <v>21</v>
      </c>
      <c r="V14" s="3" t="s">
        <v>22</v>
      </c>
      <c r="W14" s="3" t="s">
        <v>23</v>
      </c>
      <c r="X14" s="3" t="s">
        <v>24</v>
      </c>
      <c r="Y14" s="3" t="s">
        <v>25</v>
      </c>
      <c r="Z14" s="3" t="s">
        <v>26</v>
      </c>
      <c r="AA14" s="3" t="s">
        <v>27</v>
      </c>
      <c r="AB14" s="3" t="s">
        <v>28</v>
      </c>
      <c r="AC14" s="3" t="s">
        <v>29</v>
      </c>
      <c r="AD14" s="3" t="s">
        <v>30</v>
      </c>
      <c r="AE14" s="3" t="s">
        <v>31</v>
      </c>
      <c r="AF14" s="3" t="s">
        <v>32</v>
      </c>
      <c r="AG14" s="3" t="s">
        <v>33</v>
      </c>
      <c r="AH14" s="3" t="s">
        <v>34</v>
      </c>
      <c r="AI14" s="3" t="s">
        <v>35</v>
      </c>
      <c r="AJ14" s="3" t="s">
        <v>36</v>
      </c>
      <c r="AK14" s="3" t="s">
        <v>37</v>
      </c>
      <c r="AL14" s="3" t="s">
        <v>38</v>
      </c>
      <c r="AM14" s="3" t="s">
        <v>39</v>
      </c>
      <c r="AN14" s="3" t="s">
        <v>40</v>
      </c>
      <c r="AO14" s="3" t="s">
        <v>41</v>
      </c>
      <c r="AP14" s="3" t="s">
        <v>42</v>
      </c>
      <c r="AQ14" s="3" t="s">
        <v>43</v>
      </c>
      <c r="AR14" s="3" t="s">
        <v>44</v>
      </c>
      <c r="AS14" s="3" t="s">
        <v>45</v>
      </c>
      <c r="AT14" s="3" t="s">
        <v>46</v>
      </c>
      <c r="AU14" s="3" t="s">
        <v>47</v>
      </c>
      <c r="AV14" s="3" t="s">
        <v>48</v>
      </c>
      <c r="AW14" s="3" t="s">
        <v>49</v>
      </c>
      <c r="AX14" s="3" t="s">
        <v>50</v>
      </c>
      <c r="AY14" s="3" t="s">
        <v>51</v>
      </c>
      <c r="AZ14" s="3" t="s">
        <v>52</v>
      </c>
      <c r="BA14" s="3" t="s">
        <v>53</v>
      </c>
      <c r="BB14" s="3" t="s">
        <v>65</v>
      </c>
      <c r="BC14" s="3" t="s">
        <v>66</v>
      </c>
      <c r="BD14" s="3" t="s">
        <v>67</v>
      </c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 t="s">
        <v>54</v>
      </c>
    </row>
    <row r="15" spans="1:94" s="18" customFormat="1" ht="16" outlineLevel="1" x14ac:dyDescent="0.2">
      <c r="A15" s="22" t="s">
        <v>68</v>
      </c>
      <c r="B15" s="19">
        <f>(4*40)</f>
        <v>160</v>
      </c>
      <c r="C15" s="19">
        <f>SUM(G15:BA15)</f>
        <v>22.75</v>
      </c>
      <c r="D15" s="19">
        <v>0</v>
      </c>
      <c r="E15" s="19">
        <f>(C15+D15)</f>
        <v>22.75</v>
      </c>
      <c r="F15" s="19">
        <f>E15-B15</f>
        <v>-137.25</v>
      </c>
      <c r="O15" s="18">
        <v>1.25</v>
      </c>
      <c r="Q15" s="18">
        <v>7</v>
      </c>
      <c r="R15" s="18">
        <v>14.5</v>
      </c>
    </row>
    <row r="16" spans="1:94" s="18" customFormat="1" ht="16" outlineLevel="1" x14ac:dyDescent="0.2">
      <c r="A16" s="22" t="s">
        <v>69</v>
      </c>
      <c r="B16" s="19">
        <f>(2*40)</f>
        <v>80</v>
      </c>
      <c r="C16" s="19">
        <f t="shared" ref="C16:C20" si="10">SUM(G16:BA16)</f>
        <v>177.25</v>
      </c>
      <c r="D16" s="19">
        <v>0</v>
      </c>
      <c r="E16" s="19">
        <f t="shared" ref="E16:E20" si="11">(C16+D16)</f>
        <v>177.25</v>
      </c>
      <c r="F16" s="19">
        <f t="shared" ref="F16:F20" si="12">E16-B16</f>
        <v>97.25</v>
      </c>
      <c r="T16" s="18">
        <v>30.25</v>
      </c>
      <c r="U16" s="18">
        <v>24.75</v>
      </c>
      <c r="V16" s="18">
        <v>15.25</v>
      </c>
      <c r="W16" s="18">
        <v>1</v>
      </c>
      <c r="X16" s="18">
        <v>10</v>
      </c>
      <c r="Y16" s="18">
        <v>10</v>
      </c>
      <c r="Z16" s="18">
        <v>3.5</v>
      </c>
      <c r="AA16" s="18">
        <v>11.5</v>
      </c>
      <c r="AB16" s="18">
        <v>21</v>
      </c>
      <c r="AC16" s="18">
        <v>12.5</v>
      </c>
      <c r="AF16" s="18">
        <v>4</v>
      </c>
      <c r="AG16" s="18">
        <v>4</v>
      </c>
      <c r="AH16" s="18">
        <v>3</v>
      </c>
      <c r="AI16" s="18">
        <v>23.5</v>
      </c>
      <c r="AJ16" s="18">
        <v>3</v>
      </c>
    </row>
    <row r="17" spans="1:94" s="18" customFormat="1" ht="16" outlineLevel="1" x14ac:dyDescent="0.2">
      <c r="A17" s="22" t="s">
        <v>70</v>
      </c>
      <c r="B17" s="19">
        <f>4*40</f>
        <v>160</v>
      </c>
      <c r="C17" s="19">
        <f>SUM(G17:BE17)</f>
        <v>177.25</v>
      </c>
      <c r="D17" s="19">
        <v>0</v>
      </c>
      <c r="E17" s="19">
        <f t="shared" si="11"/>
        <v>177.25</v>
      </c>
      <c r="F17" s="19">
        <f t="shared" si="12"/>
        <v>17.25</v>
      </c>
      <c r="AA17" s="18">
        <v>17.5</v>
      </c>
      <c r="AB17" s="18">
        <v>12.5</v>
      </c>
      <c r="AC17" s="18">
        <v>25.5</v>
      </c>
      <c r="AD17" s="18">
        <v>1.5</v>
      </c>
      <c r="AI17" s="18">
        <v>17</v>
      </c>
      <c r="AJ17" s="18">
        <v>8.75</v>
      </c>
      <c r="AK17" s="18">
        <v>3</v>
      </c>
      <c r="AL17" s="18">
        <v>0.5</v>
      </c>
      <c r="AM17" s="18">
        <v>1.5</v>
      </c>
      <c r="AP17" s="18">
        <v>8.75</v>
      </c>
      <c r="AQ17" s="18">
        <v>17.75</v>
      </c>
      <c r="AR17" s="18">
        <v>1</v>
      </c>
      <c r="AS17" s="18">
        <v>5</v>
      </c>
      <c r="AZ17" s="18">
        <v>14</v>
      </c>
      <c r="BA17" s="18">
        <v>17.5</v>
      </c>
      <c r="BB17" s="18">
        <v>5</v>
      </c>
      <c r="BC17" s="18">
        <v>3</v>
      </c>
      <c r="BD17" s="18">
        <v>12.5</v>
      </c>
      <c r="BE17" s="18">
        <v>5</v>
      </c>
    </row>
    <row r="18" spans="1:94" s="18" customFormat="1" ht="16" outlineLevel="1" x14ac:dyDescent="0.2">
      <c r="A18" s="22" t="s">
        <v>71</v>
      </c>
      <c r="B18" s="19">
        <f>(3*40)</f>
        <v>120</v>
      </c>
      <c r="C18" s="19">
        <f t="shared" si="10"/>
        <v>149.25</v>
      </c>
      <c r="D18" s="19">
        <v>0</v>
      </c>
      <c r="E18" s="19">
        <f t="shared" si="11"/>
        <v>149.25</v>
      </c>
      <c r="F18" s="19">
        <f t="shared" si="12"/>
        <v>29.25</v>
      </c>
      <c r="AI18" s="18">
        <v>1</v>
      </c>
      <c r="AJ18" s="18">
        <v>6.5</v>
      </c>
      <c r="AK18" s="18">
        <v>24</v>
      </c>
      <c r="AL18" s="18">
        <v>35</v>
      </c>
      <c r="AM18" s="18">
        <v>3.25</v>
      </c>
      <c r="AO18" s="18">
        <v>4</v>
      </c>
      <c r="AP18" s="18">
        <f>14.75+9.75</f>
        <v>24.5</v>
      </c>
      <c r="AQ18" s="18">
        <f>7+5.75</f>
        <v>12.75</v>
      </c>
      <c r="AR18" s="18">
        <v>3</v>
      </c>
      <c r="AS18" s="18">
        <v>6.5</v>
      </c>
      <c r="AT18" s="18">
        <f>3.5+1</f>
        <v>4.5</v>
      </c>
      <c r="AU18" s="18">
        <f>1+1.5</f>
        <v>2.5</v>
      </c>
      <c r="AV18" s="18">
        <f>0.5+2.75</f>
        <v>3.25</v>
      </c>
      <c r="AW18" s="18">
        <f>6+2</f>
        <v>8</v>
      </c>
      <c r="AX18" s="18">
        <v>3.5</v>
      </c>
      <c r="AY18" s="18">
        <v>1.5</v>
      </c>
      <c r="AZ18" s="18">
        <f>4.5+1</f>
        <v>5.5</v>
      </c>
    </row>
    <row r="19" spans="1:94" s="18" customFormat="1" ht="16" outlineLevel="1" x14ac:dyDescent="0.2">
      <c r="A19" s="22" t="s">
        <v>72</v>
      </c>
      <c r="B19" s="19">
        <f>(2*40)</f>
        <v>80</v>
      </c>
      <c r="C19" s="19">
        <f>SUM(G19:BE19)</f>
        <v>37.25</v>
      </c>
      <c r="D19" s="19">
        <v>0</v>
      </c>
      <c r="E19" s="19">
        <f t="shared" si="11"/>
        <v>37.25</v>
      </c>
      <c r="F19" s="19">
        <f t="shared" si="12"/>
        <v>-42.75</v>
      </c>
      <c r="AT19" s="18">
        <v>3</v>
      </c>
      <c r="AU19" s="18">
        <v>5.25</v>
      </c>
      <c r="AV19" s="18">
        <v>3</v>
      </c>
      <c r="AW19" s="18">
        <v>1.5</v>
      </c>
      <c r="AX19" s="18">
        <v>6.5</v>
      </c>
      <c r="AY19" s="18">
        <v>6</v>
      </c>
      <c r="AZ19" s="18">
        <f>2+6</f>
        <v>8</v>
      </c>
      <c r="BA19" s="18">
        <v>2.5</v>
      </c>
      <c r="BB19" s="18">
        <v>1.5</v>
      </c>
    </row>
    <row r="20" spans="1:94" s="18" customFormat="1" ht="32" outlineLevel="1" x14ac:dyDescent="0.2">
      <c r="A20" s="22" t="s">
        <v>57</v>
      </c>
      <c r="B20" s="19">
        <f>(16*16)</f>
        <v>256</v>
      </c>
      <c r="C20" s="19">
        <f t="shared" si="10"/>
        <v>246.75</v>
      </c>
      <c r="D20" s="19">
        <v>0</v>
      </c>
      <c r="E20" s="19">
        <f t="shared" si="11"/>
        <v>246.75</v>
      </c>
      <c r="F20" s="19">
        <f t="shared" si="12"/>
        <v>-9.25</v>
      </c>
      <c r="N20" s="18">
        <v>2</v>
      </c>
      <c r="O20" s="18">
        <v>7.75</v>
      </c>
      <c r="P20" s="18">
        <v>5.75</v>
      </c>
      <c r="Q20" s="18">
        <v>15.25</v>
      </c>
      <c r="R20" s="18">
        <v>4.25</v>
      </c>
      <c r="S20" s="18">
        <v>4</v>
      </c>
      <c r="T20" s="18">
        <v>11.5</v>
      </c>
      <c r="U20" s="18">
        <v>6</v>
      </c>
      <c r="V20" s="18">
        <v>10.5</v>
      </c>
      <c r="W20" s="18">
        <v>20.75</v>
      </c>
      <c r="X20" s="18">
        <v>16.5</v>
      </c>
      <c r="Y20" s="18">
        <v>6.5</v>
      </c>
      <c r="Z20" s="18">
        <v>14</v>
      </c>
      <c r="AA20" s="18">
        <v>6</v>
      </c>
      <c r="AB20" s="18">
        <v>8.5</v>
      </c>
      <c r="AC20" s="18">
        <v>16.5</v>
      </c>
      <c r="AD20" s="18">
        <v>8</v>
      </c>
      <c r="AI20" s="18">
        <v>7.75</v>
      </c>
      <c r="AJ20" s="18">
        <v>14.25</v>
      </c>
      <c r="AK20" s="18">
        <v>4.25</v>
      </c>
      <c r="AL20" s="18">
        <v>3</v>
      </c>
      <c r="AM20" s="18">
        <v>8</v>
      </c>
      <c r="AN20" s="18">
        <v>14.5</v>
      </c>
      <c r="AP20" s="18">
        <v>5</v>
      </c>
      <c r="AQ20" s="18">
        <v>10.25</v>
      </c>
      <c r="AR20" s="18">
        <v>12</v>
      </c>
      <c r="AS20" s="18">
        <v>1</v>
      </c>
      <c r="AT20" s="18">
        <v>2</v>
      </c>
      <c r="AX20" s="18">
        <v>1</v>
      </c>
      <c r="CP20" s="18" t="s">
        <v>73</v>
      </c>
    </row>
    <row r="21" spans="1:94" s="15" customFormat="1" ht="16" outlineLevel="1" thickBot="1" x14ac:dyDescent="0.25">
      <c r="A21" s="15" t="s">
        <v>58</v>
      </c>
      <c r="B21" s="20">
        <f>SUM(B15:B20)</f>
        <v>856</v>
      </c>
      <c r="C21" s="20">
        <f>SUM(C15:C20)</f>
        <v>810.5</v>
      </c>
      <c r="D21" s="20">
        <f>SUM(D15:D20)</f>
        <v>0</v>
      </c>
      <c r="E21" s="20">
        <f>SUM(E15:E20)</f>
        <v>810.5</v>
      </c>
      <c r="F21" s="20">
        <f>SUM(F15:F20)</f>
        <v>-45.5</v>
      </c>
      <c r="N21" s="15">
        <f>SUM(N15:N20)</f>
        <v>2</v>
      </c>
      <c r="O21" s="15">
        <f>SUM(O15:O20)</f>
        <v>9</v>
      </c>
      <c r="P21" s="15">
        <f t="shared" ref="P21:AF21" si="13">SUM(P15:P20)</f>
        <v>5.75</v>
      </c>
      <c r="Q21" s="15">
        <f t="shared" si="13"/>
        <v>22.25</v>
      </c>
      <c r="R21" s="15">
        <f t="shared" si="13"/>
        <v>18.75</v>
      </c>
      <c r="S21" s="15">
        <f t="shared" si="13"/>
        <v>4</v>
      </c>
      <c r="T21" s="15">
        <f t="shared" si="13"/>
        <v>41.75</v>
      </c>
      <c r="U21" s="15">
        <f t="shared" si="13"/>
        <v>30.75</v>
      </c>
      <c r="V21" s="15">
        <f t="shared" si="13"/>
        <v>25.75</v>
      </c>
      <c r="W21" s="15">
        <f t="shared" si="13"/>
        <v>21.75</v>
      </c>
      <c r="X21" s="15">
        <f t="shared" si="13"/>
        <v>26.5</v>
      </c>
      <c r="Y21" s="15">
        <f t="shared" si="13"/>
        <v>16.5</v>
      </c>
      <c r="Z21" s="15">
        <f t="shared" si="13"/>
        <v>17.5</v>
      </c>
      <c r="AA21" s="15">
        <f t="shared" si="13"/>
        <v>35</v>
      </c>
      <c r="AB21" s="15">
        <f t="shared" si="13"/>
        <v>42</v>
      </c>
      <c r="AC21" s="15">
        <f t="shared" si="13"/>
        <v>54.5</v>
      </c>
      <c r="AD21" s="15">
        <f t="shared" si="13"/>
        <v>9.5</v>
      </c>
      <c r="AE21" s="15">
        <f t="shared" si="13"/>
        <v>0</v>
      </c>
      <c r="AF21" s="15">
        <f t="shared" si="13"/>
        <v>4</v>
      </c>
      <c r="AG21" s="15">
        <f t="shared" ref="AG21:AO21" si="14">SUM(AG15:AG20)</f>
        <v>4</v>
      </c>
      <c r="AH21" s="15">
        <f t="shared" si="14"/>
        <v>3</v>
      </c>
      <c r="AI21" s="15">
        <f t="shared" si="14"/>
        <v>49.25</v>
      </c>
      <c r="AJ21" s="15">
        <f t="shared" si="14"/>
        <v>32.5</v>
      </c>
      <c r="AK21" s="15">
        <f t="shared" si="14"/>
        <v>31.25</v>
      </c>
      <c r="AL21" s="15">
        <f t="shared" si="14"/>
        <v>38.5</v>
      </c>
      <c r="AM21" s="15">
        <f t="shared" si="14"/>
        <v>12.75</v>
      </c>
      <c r="AN21" s="15">
        <f t="shared" si="14"/>
        <v>14.5</v>
      </c>
      <c r="AO21" s="15">
        <f t="shared" si="14"/>
        <v>4</v>
      </c>
      <c r="AP21" s="15">
        <f t="shared" ref="AP21:BQ21" si="15">SUM(AP15:AP20)</f>
        <v>38.25</v>
      </c>
      <c r="AQ21" s="15">
        <f t="shared" si="15"/>
        <v>40.75</v>
      </c>
      <c r="AR21" s="15">
        <f t="shared" si="15"/>
        <v>16</v>
      </c>
      <c r="AS21" s="15">
        <f t="shared" si="15"/>
        <v>12.5</v>
      </c>
      <c r="AT21" s="15">
        <f t="shared" si="15"/>
        <v>9.5</v>
      </c>
      <c r="AU21" s="15">
        <f t="shared" si="15"/>
        <v>7.75</v>
      </c>
      <c r="AV21" s="15">
        <f t="shared" si="15"/>
        <v>6.25</v>
      </c>
      <c r="AW21" s="15">
        <f t="shared" si="15"/>
        <v>9.5</v>
      </c>
      <c r="AX21" s="15">
        <f t="shared" si="15"/>
        <v>11</v>
      </c>
      <c r="AY21" s="15">
        <f t="shared" si="15"/>
        <v>7.5</v>
      </c>
      <c r="AZ21" s="15">
        <f t="shared" si="15"/>
        <v>27.5</v>
      </c>
      <c r="BA21" s="15">
        <f t="shared" si="15"/>
        <v>20</v>
      </c>
      <c r="BB21" s="15">
        <f t="shared" si="15"/>
        <v>6.5</v>
      </c>
      <c r="BC21" s="15">
        <f t="shared" si="15"/>
        <v>3</v>
      </c>
      <c r="BD21" s="15">
        <f t="shared" si="15"/>
        <v>12.5</v>
      </c>
      <c r="BE21" s="15">
        <f t="shared" si="15"/>
        <v>5</v>
      </c>
      <c r="BF21" s="15">
        <f t="shared" si="15"/>
        <v>0</v>
      </c>
      <c r="BG21" s="15">
        <f t="shared" si="15"/>
        <v>0</v>
      </c>
      <c r="BH21" s="15">
        <f t="shared" si="15"/>
        <v>0</v>
      </c>
      <c r="BI21" s="15">
        <f t="shared" si="15"/>
        <v>0</v>
      </c>
      <c r="BJ21" s="15">
        <f t="shared" si="15"/>
        <v>0</v>
      </c>
      <c r="BK21" s="15">
        <f t="shared" si="15"/>
        <v>0</v>
      </c>
      <c r="BL21" s="15">
        <f t="shared" si="15"/>
        <v>0</v>
      </c>
      <c r="BM21" s="15">
        <f t="shared" si="15"/>
        <v>0</v>
      </c>
      <c r="BQ21" s="15">
        <f t="shared" si="15"/>
        <v>0</v>
      </c>
    </row>
    <row r="22" spans="1:94" s="23" customFormat="1" ht="16" outlineLevel="1" thickTop="1" x14ac:dyDescent="0.2">
      <c r="B22" s="24"/>
      <c r="C22" s="24"/>
      <c r="D22" s="24"/>
      <c r="E22" s="24"/>
      <c r="F22" s="24"/>
    </row>
    <row r="23" spans="1:94" s="5" customFormat="1" ht="48" outlineLevel="1" x14ac:dyDescent="0.2">
      <c r="A23" s="1" t="s">
        <v>74</v>
      </c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G23" s="3" t="s">
        <v>7</v>
      </c>
      <c r="H23" s="3" t="s">
        <v>8</v>
      </c>
      <c r="I23" s="3" t="s">
        <v>9</v>
      </c>
      <c r="J23" s="3" t="s">
        <v>10</v>
      </c>
      <c r="K23" s="3" t="s">
        <v>11</v>
      </c>
      <c r="L23" s="3" t="s">
        <v>12</v>
      </c>
      <c r="M23" s="3" t="s">
        <v>13</v>
      </c>
      <c r="N23" s="3" t="s">
        <v>14</v>
      </c>
      <c r="O23" s="3" t="s">
        <v>15</v>
      </c>
      <c r="P23" s="3" t="s">
        <v>16</v>
      </c>
      <c r="Q23" s="3" t="s">
        <v>17</v>
      </c>
      <c r="R23" s="3" t="s">
        <v>18</v>
      </c>
      <c r="S23" s="3" t="s">
        <v>19</v>
      </c>
      <c r="T23" s="3" t="s">
        <v>20</v>
      </c>
      <c r="U23" s="3" t="s">
        <v>21</v>
      </c>
      <c r="V23" s="3" t="s">
        <v>22</v>
      </c>
      <c r="W23" s="3" t="s">
        <v>23</v>
      </c>
      <c r="X23" s="3" t="s">
        <v>24</v>
      </c>
      <c r="Y23" s="3" t="s">
        <v>25</v>
      </c>
      <c r="Z23" s="3" t="s">
        <v>26</v>
      </c>
      <c r="AA23" s="3" t="s">
        <v>27</v>
      </c>
      <c r="AB23" s="3" t="s">
        <v>28</v>
      </c>
      <c r="AC23" s="3" t="s">
        <v>29</v>
      </c>
      <c r="AD23" s="3" t="s">
        <v>30</v>
      </c>
      <c r="AE23" s="3" t="s">
        <v>31</v>
      </c>
      <c r="AF23" s="3" t="s">
        <v>32</v>
      </c>
      <c r="AG23" s="3" t="s">
        <v>33</v>
      </c>
      <c r="AH23" s="3" t="s">
        <v>34</v>
      </c>
      <c r="AI23" s="3" t="s">
        <v>35</v>
      </c>
      <c r="AJ23" s="3" t="s">
        <v>36</v>
      </c>
      <c r="AK23" s="3" t="s">
        <v>37</v>
      </c>
      <c r="AL23" s="3" t="s">
        <v>38</v>
      </c>
      <c r="AM23" s="3" t="s">
        <v>39</v>
      </c>
      <c r="AN23" s="3" t="s">
        <v>40</v>
      </c>
      <c r="AO23" s="3" t="s">
        <v>41</v>
      </c>
      <c r="AP23" s="3" t="s">
        <v>42</v>
      </c>
      <c r="AQ23" s="3" t="s">
        <v>43</v>
      </c>
      <c r="AR23" s="3" t="s">
        <v>44</v>
      </c>
      <c r="AS23" s="3" t="s">
        <v>45</v>
      </c>
      <c r="AT23" s="3" t="s">
        <v>46</v>
      </c>
      <c r="AU23" s="3" t="s">
        <v>47</v>
      </c>
      <c r="AV23" s="3" t="s">
        <v>48</v>
      </c>
      <c r="AW23" s="3" t="s">
        <v>49</v>
      </c>
      <c r="AX23" s="3" t="s">
        <v>50</v>
      </c>
      <c r="AY23" s="3" t="s">
        <v>51</v>
      </c>
      <c r="AZ23" s="3" t="s">
        <v>52</v>
      </c>
      <c r="BA23" s="3" t="s">
        <v>53</v>
      </c>
      <c r="BB23" s="3" t="s">
        <v>65</v>
      </c>
      <c r="BC23" s="3" t="s">
        <v>66</v>
      </c>
      <c r="BD23" s="3" t="s">
        <v>67</v>
      </c>
      <c r="BE23" s="3" t="s">
        <v>75</v>
      </c>
      <c r="BF23" s="3" t="s">
        <v>76</v>
      </c>
      <c r="BG23" s="3" t="s">
        <v>7</v>
      </c>
      <c r="BH23" s="3" t="s">
        <v>8</v>
      </c>
      <c r="BI23" s="3" t="s">
        <v>9</v>
      </c>
      <c r="BJ23" s="3" t="s">
        <v>10</v>
      </c>
      <c r="BK23" s="3" t="s">
        <v>11</v>
      </c>
      <c r="BL23" s="3" t="s">
        <v>12</v>
      </c>
      <c r="BM23" s="3" t="s">
        <v>13</v>
      </c>
      <c r="BN23" s="3" t="s">
        <v>14</v>
      </c>
      <c r="BO23" s="3" t="s">
        <v>15</v>
      </c>
      <c r="BP23" s="3" t="s">
        <v>16</v>
      </c>
      <c r="BQ23" s="3" t="s">
        <v>17</v>
      </c>
      <c r="BR23" s="3" t="s">
        <v>18</v>
      </c>
      <c r="BS23" s="3" t="s">
        <v>19</v>
      </c>
      <c r="BT23" s="3" t="s">
        <v>20</v>
      </c>
      <c r="BU23" s="3" t="s">
        <v>21</v>
      </c>
      <c r="BV23" s="3" t="s">
        <v>22</v>
      </c>
      <c r="BW23" s="3" t="s">
        <v>23</v>
      </c>
      <c r="BX23" s="3" t="s">
        <v>24</v>
      </c>
      <c r="BY23" s="3" t="s">
        <v>25</v>
      </c>
      <c r="BZ23" s="3" t="s">
        <v>26</v>
      </c>
      <c r="CA23" s="3" t="s">
        <v>27</v>
      </c>
      <c r="CB23" s="3" t="s">
        <v>28</v>
      </c>
      <c r="CC23" s="3" t="s">
        <v>29</v>
      </c>
      <c r="CD23" s="3" t="s">
        <v>30</v>
      </c>
      <c r="CE23" s="3" t="s">
        <v>31</v>
      </c>
      <c r="CF23" s="3" t="s">
        <v>32</v>
      </c>
      <c r="CG23" s="3" t="s">
        <v>33</v>
      </c>
      <c r="CH23" s="3" t="s">
        <v>34</v>
      </c>
      <c r="CI23" s="3" t="s">
        <v>35</v>
      </c>
      <c r="CJ23" s="3" t="s">
        <v>36</v>
      </c>
      <c r="CK23" s="3" t="s">
        <v>37</v>
      </c>
      <c r="CL23" s="3" t="s">
        <v>38</v>
      </c>
      <c r="CM23" s="3" t="s">
        <v>39</v>
      </c>
      <c r="CN23" s="3" t="s">
        <v>40</v>
      </c>
      <c r="CO23" s="3" t="s">
        <v>41</v>
      </c>
      <c r="CP23" s="3" t="s">
        <v>54</v>
      </c>
    </row>
    <row r="24" spans="1:94" s="18" customFormat="1" ht="16" outlineLevel="1" x14ac:dyDescent="0.2">
      <c r="A24" s="22" t="s">
        <v>77</v>
      </c>
      <c r="B24" s="19">
        <v>80</v>
      </c>
      <c r="C24" s="19">
        <f>SUM(G24:CO24)</f>
        <v>26</v>
      </c>
      <c r="D24" s="19">
        <v>0</v>
      </c>
      <c r="E24" s="19">
        <f t="shared" ref="E24:E31" si="16">(C24+D24)</f>
        <v>26</v>
      </c>
      <c r="F24" s="19">
        <f t="shared" ref="F24:F31" si="17">E24-B24</f>
        <v>-54</v>
      </c>
      <c r="AO24" s="18">
        <v>4</v>
      </c>
      <c r="AP24" s="18">
        <v>5</v>
      </c>
      <c r="AR24" s="18">
        <v>16</v>
      </c>
      <c r="AX24" s="18">
        <v>1</v>
      </c>
    </row>
    <row r="25" spans="1:94" s="18" customFormat="1" ht="16" outlineLevel="1" x14ac:dyDescent="0.2">
      <c r="A25" s="22" t="s">
        <v>78</v>
      </c>
      <c r="B25" s="19">
        <v>120</v>
      </c>
      <c r="C25" s="19">
        <f>SUM(G25:CO25)</f>
        <v>204.25</v>
      </c>
      <c r="D25" s="19">
        <v>0</v>
      </c>
      <c r="E25" s="19">
        <f t="shared" si="16"/>
        <v>204.25</v>
      </c>
      <c r="F25" s="19">
        <f t="shared" si="17"/>
        <v>84.25</v>
      </c>
      <c r="AS25" s="18">
        <f>2+2</f>
        <v>4</v>
      </c>
      <c r="AT25" s="18">
        <v>2.5</v>
      </c>
      <c r="AX25" s="18">
        <f>1+2</f>
        <v>3</v>
      </c>
      <c r="AZ25" s="18">
        <v>2</v>
      </c>
      <c r="BA25" s="18">
        <f>6+1</f>
        <v>7</v>
      </c>
      <c r="BB25" s="18">
        <f>1.5+6.5</f>
        <v>8</v>
      </c>
      <c r="BE25" s="18">
        <v>13.5</v>
      </c>
      <c r="BF25" s="18">
        <f>1.5+7.25</f>
        <v>8.75</v>
      </c>
      <c r="BG25" s="18">
        <f>1.5+10.25</f>
        <v>11.75</v>
      </c>
      <c r="BH25" s="18">
        <v>2</v>
      </c>
      <c r="BI25" s="18">
        <v>2.25</v>
      </c>
      <c r="BJ25" s="18">
        <v>7</v>
      </c>
      <c r="BL25" s="18">
        <f>2+6.5</f>
        <v>8.5</v>
      </c>
      <c r="BM25" s="18">
        <v>7</v>
      </c>
      <c r="BN25" s="18">
        <f>3+2</f>
        <v>5</v>
      </c>
      <c r="BS25" s="18">
        <v>12</v>
      </c>
      <c r="BT25" s="18">
        <v>2</v>
      </c>
      <c r="BU25" s="18">
        <v>6</v>
      </c>
      <c r="BV25" s="18">
        <v>17.25</v>
      </c>
      <c r="BW25" s="18">
        <v>2</v>
      </c>
      <c r="BX25" s="18">
        <v>9.75</v>
      </c>
      <c r="BY25" s="18">
        <v>18.5</v>
      </c>
      <c r="BZ25" s="18">
        <v>15.5</v>
      </c>
      <c r="CA25" s="18">
        <v>11</v>
      </c>
      <c r="CC25" s="18">
        <v>1</v>
      </c>
      <c r="CH25" s="18">
        <v>17</v>
      </c>
    </row>
    <row r="26" spans="1:94" s="18" customFormat="1" ht="16" outlineLevel="1" x14ac:dyDescent="0.2">
      <c r="A26" s="22" t="s">
        <v>79</v>
      </c>
      <c r="B26" s="19">
        <v>230</v>
      </c>
      <c r="C26" s="19">
        <f>SUM(G26:CO26)</f>
        <v>639.5</v>
      </c>
      <c r="D26" s="19">
        <v>23</v>
      </c>
      <c r="E26" s="19">
        <f t="shared" si="16"/>
        <v>662.5</v>
      </c>
      <c r="F26" s="19">
        <f t="shared" si="17"/>
        <v>432.5</v>
      </c>
      <c r="AV26" s="18">
        <v>1.5</v>
      </c>
      <c r="AX26" s="18">
        <v>1</v>
      </c>
      <c r="AZ26" s="18">
        <v>2</v>
      </c>
      <c r="BA26" s="18">
        <v>3</v>
      </c>
      <c r="BB26" s="18">
        <v>2</v>
      </c>
      <c r="BE26" s="18">
        <v>4.5</v>
      </c>
      <c r="BF26" s="18">
        <f>16.75+1+1.5</f>
        <v>19.25</v>
      </c>
      <c r="BG26" s="18">
        <v>22</v>
      </c>
      <c r="BH26" s="18">
        <f>21+11.5</f>
        <v>32.5</v>
      </c>
      <c r="BI26" s="18">
        <f>24+9+6</f>
        <v>39</v>
      </c>
      <c r="BJ26" s="18">
        <f>24+2+28.5</f>
        <v>54.5</v>
      </c>
      <c r="BK26" s="18">
        <f>6+17.5+7</f>
        <v>30.5</v>
      </c>
      <c r="BL26" s="18">
        <f>4+9+7</f>
        <v>20</v>
      </c>
      <c r="BM26" s="18">
        <f>18.25+3</f>
        <v>21.25</v>
      </c>
      <c r="BN26" s="18">
        <f>14.75+1</f>
        <v>15.75</v>
      </c>
      <c r="BO26" s="18">
        <f>9+11.75</f>
        <v>20.75</v>
      </c>
      <c r="BP26" s="18">
        <v>16</v>
      </c>
      <c r="BQ26" s="18">
        <v>15.75</v>
      </c>
      <c r="BR26" s="18">
        <v>8</v>
      </c>
      <c r="BS26" s="18">
        <v>21</v>
      </c>
      <c r="BT26" s="18">
        <f>2+20.5</f>
        <v>22.5</v>
      </c>
      <c r="BU26" s="18">
        <v>8</v>
      </c>
      <c r="BV26" s="18">
        <f>8.5+25</f>
        <v>33.5</v>
      </c>
      <c r="BW26" s="18">
        <f>16+25.75</f>
        <v>41.75</v>
      </c>
      <c r="BX26" s="18">
        <f>16.5+12</f>
        <v>28.5</v>
      </c>
      <c r="BY26" s="18">
        <v>36</v>
      </c>
      <c r="BZ26" s="18">
        <v>12</v>
      </c>
      <c r="CA26" s="18">
        <v>15</v>
      </c>
      <c r="CB26" s="18">
        <f>23+10</f>
        <v>33</v>
      </c>
      <c r="CC26" s="18">
        <f>12+4.5</f>
        <v>16.5</v>
      </c>
      <c r="CD26" s="18">
        <v>7</v>
      </c>
      <c r="CI26" s="18">
        <v>7.5</v>
      </c>
      <c r="CJ26" s="18">
        <v>19</v>
      </c>
      <c r="CK26" s="18">
        <v>9</v>
      </c>
    </row>
    <row r="27" spans="1:94" s="18" customFormat="1" ht="16" outlineLevel="1" x14ac:dyDescent="0.2">
      <c r="A27" s="22" t="s">
        <v>80</v>
      </c>
      <c r="B27" s="19">
        <v>50</v>
      </c>
      <c r="C27" s="19">
        <f>SUM(G27:CO27)</f>
        <v>40.25</v>
      </c>
      <c r="D27" s="19">
        <v>0</v>
      </c>
      <c r="E27" s="19">
        <f t="shared" si="16"/>
        <v>40.25</v>
      </c>
      <c r="F27" s="19">
        <f t="shared" si="17"/>
        <v>-9.75</v>
      </c>
      <c r="BM27" s="18">
        <f>1+1</f>
        <v>2</v>
      </c>
      <c r="BU27" s="18">
        <v>6</v>
      </c>
      <c r="BV27" s="18">
        <v>3</v>
      </c>
      <c r="BW27" s="18">
        <f>8.25+15</f>
        <v>23.25</v>
      </c>
      <c r="BX27" s="18">
        <f>1.5+3</f>
        <v>4.5</v>
      </c>
      <c r="BY27" s="18">
        <f>1.5</f>
        <v>1.5</v>
      </c>
    </row>
    <row r="28" spans="1:94" s="18" customFormat="1" ht="16" outlineLevel="1" x14ac:dyDescent="0.2">
      <c r="A28" s="22" t="s">
        <v>81</v>
      </c>
      <c r="B28" s="19">
        <v>120</v>
      </c>
      <c r="C28" s="19">
        <f t="shared" ref="C28:C30" si="18">SUM(G28:BQ28)</f>
        <v>0</v>
      </c>
      <c r="D28" s="19">
        <v>0</v>
      </c>
      <c r="E28" s="19">
        <f t="shared" si="16"/>
        <v>0</v>
      </c>
      <c r="F28" s="19">
        <f t="shared" si="17"/>
        <v>-120</v>
      </c>
    </row>
    <row r="29" spans="1:94" s="18" customFormat="1" ht="16" outlineLevel="1" x14ac:dyDescent="0.2">
      <c r="A29" s="22" t="s">
        <v>82</v>
      </c>
      <c r="B29" s="19">
        <v>150</v>
      </c>
      <c r="C29" s="19">
        <f t="shared" si="18"/>
        <v>0</v>
      </c>
      <c r="D29" s="19">
        <v>0</v>
      </c>
      <c r="E29" s="19">
        <f t="shared" si="16"/>
        <v>0</v>
      </c>
      <c r="F29" s="19">
        <f t="shared" si="17"/>
        <v>-150</v>
      </c>
    </row>
    <row r="30" spans="1:94" s="18" customFormat="1" ht="16" outlineLevel="1" x14ac:dyDescent="0.2">
      <c r="A30" s="22" t="s">
        <v>83</v>
      </c>
      <c r="B30" s="19">
        <v>50</v>
      </c>
      <c r="C30" s="19">
        <f t="shared" si="18"/>
        <v>0</v>
      </c>
      <c r="D30" s="19">
        <v>0</v>
      </c>
      <c r="E30" s="19">
        <f t="shared" si="16"/>
        <v>0</v>
      </c>
      <c r="F30" s="19">
        <f t="shared" si="17"/>
        <v>-50</v>
      </c>
    </row>
    <row r="31" spans="1:94" s="18" customFormat="1" ht="16" outlineLevel="1" x14ac:dyDescent="0.2">
      <c r="A31" s="22" t="s">
        <v>84</v>
      </c>
      <c r="B31" s="19">
        <v>231.31</v>
      </c>
      <c r="C31" s="19">
        <f>SUM(G31:CO31)</f>
        <v>237.25</v>
      </c>
      <c r="D31" s="19">
        <v>9.25</v>
      </c>
      <c r="E31" s="19">
        <f t="shared" si="16"/>
        <v>246.5</v>
      </c>
      <c r="F31" s="19">
        <f t="shared" si="17"/>
        <v>15.189999999999998</v>
      </c>
      <c r="AP31" s="18">
        <v>7</v>
      </c>
      <c r="AQ31" s="18">
        <v>6.5</v>
      </c>
      <c r="AS31" s="18">
        <f>3.25+0.5</f>
        <v>3.75</v>
      </c>
      <c r="AT31" s="18">
        <v>5</v>
      </c>
      <c r="AV31" s="18">
        <v>5</v>
      </c>
      <c r="AX31" s="18">
        <v>5.75</v>
      </c>
      <c r="AY31" s="18">
        <v>8</v>
      </c>
      <c r="AZ31" s="18">
        <v>6.5</v>
      </c>
      <c r="BA31" s="18">
        <v>6.75</v>
      </c>
      <c r="BB31" s="18">
        <v>10.25</v>
      </c>
      <c r="BD31" s="18">
        <v>2</v>
      </c>
      <c r="BE31" s="18">
        <v>4.5</v>
      </c>
      <c r="BF31" s="18">
        <v>3.75</v>
      </c>
      <c r="BG31" s="18">
        <v>5</v>
      </c>
      <c r="BH31" s="18">
        <v>3</v>
      </c>
      <c r="BI31" s="18">
        <v>6.5</v>
      </c>
      <c r="BJ31" s="18">
        <v>13.5</v>
      </c>
      <c r="BK31" s="18">
        <v>4</v>
      </c>
      <c r="BL31" s="18">
        <v>5.75</v>
      </c>
      <c r="BM31" s="18">
        <v>4</v>
      </c>
      <c r="BN31" s="18">
        <v>8</v>
      </c>
      <c r="BP31" s="18">
        <v>2</v>
      </c>
      <c r="BQ31" s="18">
        <v>1</v>
      </c>
      <c r="BR31" s="18">
        <v>3</v>
      </c>
      <c r="BS31" s="18">
        <v>2</v>
      </c>
      <c r="BT31" s="18">
        <v>3.5</v>
      </c>
      <c r="BU31" s="18">
        <v>6</v>
      </c>
      <c r="BV31" s="18">
        <v>8.5</v>
      </c>
      <c r="BW31" s="18">
        <v>6</v>
      </c>
      <c r="BX31" s="18">
        <v>6</v>
      </c>
      <c r="BY31" s="18">
        <v>14.5</v>
      </c>
      <c r="BZ31" s="18">
        <v>5</v>
      </c>
      <c r="CA31" s="18">
        <v>8</v>
      </c>
      <c r="CB31" s="18">
        <v>5</v>
      </c>
      <c r="CC31" s="18">
        <v>3</v>
      </c>
      <c r="CH31" s="18">
        <v>23</v>
      </c>
      <c r="CI31" s="18">
        <v>2.75</v>
      </c>
      <c r="CJ31" s="18">
        <v>6.5</v>
      </c>
      <c r="CK31" s="18">
        <v>7</v>
      </c>
    </row>
    <row r="32" spans="1:94" s="15" customFormat="1" ht="13.5" customHeight="1" outlineLevel="1" thickBot="1" x14ac:dyDescent="0.25">
      <c r="A32" s="15" t="s">
        <v>58</v>
      </c>
      <c r="B32" s="20">
        <f>SUM(B24:B31)</f>
        <v>1031.31</v>
      </c>
      <c r="C32" s="20">
        <f>SUM(C24:C31)</f>
        <v>1147.25</v>
      </c>
      <c r="D32" s="20">
        <f>SUM(D24:D31)</f>
        <v>32.25</v>
      </c>
      <c r="E32" s="20">
        <f>SUM(E24:E31)</f>
        <v>1179.5</v>
      </c>
      <c r="F32" s="20">
        <f>SUM(F24:F31)</f>
        <v>148.19</v>
      </c>
      <c r="AK32" s="15">
        <f t="shared" ref="AK32:AP32" si="19">SUM(AK24:AK31)</f>
        <v>0</v>
      </c>
      <c r="AL32" s="15">
        <f t="shared" si="19"/>
        <v>0</v>
      </c>
      <c r="AM32" s="15">
        <f t="shared" si="19"/>
        <v>0</v>
      </c>
      <c r="AN32" s="15">
        <f t="shared" si="19"/>
        <v>0</v>
      </c>
      <c r="AO32" s="15">
        <f t="shared" si="19"/>
        <v>4</v>
      </c>
      <c r="AP32" s="15">
        <f t="shared" si="19"/>
        <v>12</v>
      </c>
      <c r="AQ32" s="15">
        <f>SUM(AQ24:AQ31)</f>
        <v>6.5</v>
      </c>
      <c r="AR32" s="15">
        <f t="shared" ref="AR32:CO32" si="20">SUM(AR24:AR31)</f>
        <v>16</v>
      </c>
      <c r="AS32" s="15">
        <f t="shared" si="20"/>
        <v>7.75</v>
      </c>
      <c r="AT32" s="15">
        <f t="shared" si="20"/>
        <v>7.5</v>
      </c>
      <c r="AU32" s="15">
        <f t="shared" si="20"/>
        <v>0</v>
      </c>
      <c r="AV32" s="15">
        <f t="shared" si="20"/>
        <v>6.5</v>
      </c>
      <c r="AW32" s="15">
        <f t="shared" si="20"/>
        <v>0</v>
      </c>
      <c r="AX32" s="15">
        <f t="shared" si="20"/>
        <v>10.75</v>
      </c>
      <c r="AY32" s="15">
        <f t="shared" si="20"/>
        <v>8</v>
      </c>
      <c r="AZ32" s="15">
        <f t="shared" si="20"/>
        <v>10.5</v>
      </c>
      <c r="BA32" s="15">
        <f t="shared" si="20"/>
        <v>16.75</v>
      </c>
      <c r="BB32" s="15">
        <f t="shared" si="20"/>
        <v>20.25</v>
      </c>
      <c r="BC32" s="15">
        <f t="shared" si="20"/>
        <v>0</v>
      </c>
      <c r="BD32" s="15">
        <f t="shared" si="20"/>
        <v>2</v>
      </c>
      <c r="BE32" s="15">
        <f t="shared" si="20"/>
        <v>22.5</v>
      </c>
      <c r="BF32" s="15">
        <f t="shared" si="20"/>
        <v>31.75</v>
      </c>
      <c r="BG32" s="15">
        <f t="shared" si="20"/>
        <v>38.75</v>
      </c>
      <c r="BH32" s="15">
        <f t="shared" si="20"/>
        <v>37.5</v>
      </c>
      <c r="BI32" s="15">
        <f t="shared" si="20"/>
        <v>47.75</v>
      </c>
      <c r="BJ32" s="15">
        <f t="shared" si="20"/>
        <v>75</v>
      </c>
      <c r="BK32" s="15">
        <f t="shared" si="20"/>
        <v>34.5</v>
      </c>
      <c r="BL32" s="15">
        <f t="shared" si="20"/>
        <v>34.25</v>
      </c>
      <c r="BM32" s="15">
        <f t="shared" si="20"/>
        <v>34.25</v>
      </c>
      <c r="BN32" s="15">
        <f t="shared" si="20"/>
        <v>28.75</v>
      </c>
      <c r="BO32" s="15">
        <f t="shared" si="20"/>
        <v>20.75</v>
      </c>
      <c r="BP32" s="15">
        <f t="shared" si="20"/>
        <v>18</v>
      </c>
      <c r="BQ32" s="15">
        <f t="shared" si="20"/>
        <v>16.75</v>
      </c>
      <c r="BR32" s="15">
        <f t="shared" si="20"/>
        <v>11</v>
      </c>
      <c r="BS32" s="15">
        <f t="shared" si="20"/>
        <v>35</v>
      </c>
      <c r="BT32" s="15">
        <f t="shared" si="20"/>
        <v>28</v>
      </c>
      <c r="BU32" s="15">
        <f t="shared" si="20"/>
        <v>26</v>
      </c>
      <c r="BV32" s="15">
        <f t="shared" si="20"/>
        <v>62.25</v>
      </c>
      <c r="BW32" s="15">
        <f t="shared" si="20"/>
        <v>73</v>
      </c>
      <c r="BX32" s="15">
        <f t="shared" si="20"/>
        <v>48.75</v>
      </c>
      <c r="BY32" s="15">
        <f t="shared" si="20"/>
        <v>70.5</v>
      </c>
      <c r="BZ32" s="15">
        <f t="shared" si="20"/>
        <v>32.5</v>
      </c>
      <c r="CA32" s="15">
        <f t="shared" si="20"/>
        <v>34</v>
      </c>
      <c r="CB32" s="15">
        <f t="shared" si="20"/>
        <v>38</v>
      </c>
      <c r="CC32" s="15">
        <f t="shared" si="20"/>
        <v>20.5</v>
      </c>
      <c r="CD32" s="15">
        <f t="shared" si="20"/>
        <v>7</v>
      </c>
      <c r="CE32" s="15">
        <f t="shared" si="20"/>
        <v>0</v>
      </c>
      <c r="CF32" s="15">
        <f t="shared" si="20"/>
        <v>0</v>
      </c>
      <c r="CG32" s="15">
        <f t="shared" si="20"/>
        <v>0</v>
      </c>
      <c r="CH32" s="15">
        <f t="shared" si="20"/>
        <v>40</v>
      </c>
      <c r="CI32" s="15">
        <f t="shared" si="20"/>
        <v>10.25</v>
      </c>
      <c r="CJ32" s="15">
        <f t="shared" si="20"/>
        <v>25.5</v>
      </c>
      <c r="CK32" s="15">
        <f t="shared" si="20"/>
        <v>16</v>
      </c>
      <c r="CL32" s="15">
        <f t="shared" si="20"/>
        <v>0</v>
      </c>
      <c r="CM32" s="15">
        <f t="shared" si="20"/>
        <v>0</v>
      </c>
      <c r="CN32" s="15">
        <f t="shared" si="20"/>
        <v>0</v>
      </c>
      <c r="CO32" s="15">
        <f t="shared" si="20"/>
        <v>0</v>
      </c>
    </row>
    <row r="33" spans="1:94" s="23" customFormat="1" ht="17" thickTop="1" thickBot="1" x14ac:dyDescent="0.25">
      <c r="B33" s="24"/>
      <c r="C33" s="24"/>
      <c r="D33" s="24"/>
      <c r="E33" s="24"/>
      <c r="F33" s="24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</row>
    <row r="34" spans="1:94" s="5" customFormat="1" ht="49" thickTop="1" x14ac:dyDescent="0.2">
      <c r="A34" s="1" t="s">
        <v>85</v>
      </c>
      <c r="B34" s="2" t="s">
        <v>2</v>
      </c>
      <c r="C34" s="2" t="s">
        <v>3</v>
      </c>
      <c r="D34" s="2" t="s">
        <v>4</v>
      </c>
      <c r="E34" s="2" t="s">
        <v>5</v>
      </c>
      <c r="F34" s="2" t="s">
        <v>6</v>
      </c>
      <c r="G34" s="3" t="s">
        <v>7</v>
      </c>
      <c r="H34" s="3" t="s">
        <v>8</v>
      </c>
      <c r="I34" s="3" t="s">
        <v>9</v>
      </c>
      <c r="J34" s="3" t="s">
        <v>10</v>
      </c>
      <c r="K34" s="3" t="s">
        <v>11</v>
      </c>
      <c r="L34" s="3" t="s">
        <v>12</v>
      </c>
      <c r="M34" s="3" t="s">
        <v>13</v>
      </c>
      <c r="N34" s="3" t="s">
        <v>14</v>
      </c>
      <c r="O34" s="3" t="s">
        <v>15</v>
      </c>
      <c r="P34" s="3" t="s">
        <v>16</v>
      </c>
      <c r="Q34" s="3" t="s">
        <v>17</v>
      </c>
      <c r="R34" s="3" t="s">
        <v>18</v>
      </c>
      <c r="S34" s="3" t="s">
        <v>19</v>
      </c>
      <c r="T34" s="3" t="s">
        <v>20</v>
      </c>
      <c r="U34" s="3" t="s">
        <v>21</v>
      </c>
      <c r="V34" s="3" t="s">
        <v>22</v>
      </c>
      <c r="W34" s="3" t="s">
        <v>23</v>
      </c>
      <c r="X34" s="3" t="s">
        <v>24</v>
      </c>
      <c r="Y34" s="3" t="s">
        <v>25</v>
      </c>
      <c r="Z34" s="3" t="s">
        <v>26</v>
      </c>
      <c r="AA34" s="3" t="s">
        <v>27</v>
      </c>
      <c r="AB34" s="3" t="s">
        <v>28</v>
      </c>
      <c r="AC34" s="3" t="s">
        <v>29</v>
      </c>
      <c r="AD34" s="3" t="s">
        <v>30</v>
      </c>
      <c r="AE34" s="3" t="s">
        <v>31</v>
      </c>
      <c r="AF34" s="3" t="s">
        <v>32</v>
      </c>
      <c r="AG34" s="3" t="s">
        <v>33</v>
      </c>
      <c r="AH34" s="3" t="s">
        <v>34</v>
      </c>
      <c r="AI34" s="3" t="s">
        <v>35</v>
      </c>
      <c r="AJ34" s="3" t="s">
        <v>36</v>
      </c>
      <c r="AK34" s="3" t="s">
        <v>37</v>
      </c>
      <c r="AL34" s="3" t="s">
        <v>38</v>
      </c>
      <c r="AM34" s="3" t="s">
        <v>39</v>
      </c>
      <c r="AN34" s="3" t="s">
        <v>40</v>
      </c>
      <c r="AO34" s="3" t="s">
        <v>41</v>
      </c>
      <c r="AP34" s="3" t="s">
        <v>42</v>
      </c>
      <c r="AQ34" s="3" t="s">
        <v>43</v>
      </c>
      <c r="AR34" s="3" t="s">
        <v>44</v>
      </c>
      <c r="AS34" s="3" t="s">
        <v>45</v>
      </c>
      <c r="AT34" s="3" t="s">
        <v>46</v>
      </c>
      <c r="AU34" s="3" t="s">
        <v>47</v>
      </c>
      <c r="AV34" s="3" t="s">
        <v>48</v>
      </c>
      <c r="AW34" s="3" t="s">
        <v>49</v>
      </c>
      <c r="AX34" s="3" t="s">
        <v>50</v>
      </c>
      <c r="AY34" s="3" t="s">
        <v>51</v>
      </c>
      <c r="AZ34" s="3" t="s">
        <v>52</v>
      </c>
      <c r="BA34" s="3" t="s">
        <v>53</v>
      </c>
      <c r="BB34" s="3" t="s">
        <v>65</v>
      </c>
      <c r="BC34" s="3" t="s">
        <v>66</v>
      </c>
      <c r="BD34" s="3" t="s">
        <v>67</v>
      </c>
      <c r="BE34" s="3" t="s">
        <v>75</v>
      </c>
      <c r="BF34" s="3" t="s">
        <v>76</v>
      </c>
      <c r="BG34" s="3" t="s">
        <v>7</v>
      </c>
      <c r="BH34" s="3" t="s">
        <v>8</v>
      </c>
      <c r="BI34" s="3" t="s">
        <v>9</v>
      </c>
      <c r="BJ34" s="3" t="s">
        <v>10</v>
      </c>
      <c r="BK34" s="3" t="s">
        <v>11</v>
      </c>
      <c r="BL34" s="3" t="s">
        <v>12</v>
      </c>
      <c r="BM34" s="3" t="s">
        <v>13</v>
      </c>
      <c r="BN34" s="3"/>
      <c r="BO34" s="3"/>
      <c r="BP34" s="3"/>
      <c r="BQ34" s="3" t="s">
        <v>14</v>
      </c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 t="s">
        <v>60</v>
      </c>
    </row>
    <row r="35" spans="1:94" x14ac:dyDescent="0.2">
      <c r="A35" s="10" t="s">
        <v>86</v>
      </c>
      <c r="B35" s="10">
        <f>(B6)</f>
        <v>150</v>
      </c>
      <c r="C35" s="10">
        <f>(C6)</f>
        <v>105.25</v>
      </c>
      <c r="D35" s="10">
        <f t="shared" ref="D35:F35" si="21">(D6)</f>
        <v>0</v>
      </c>
      <c r="E35" s="10">
        <f t="shared" si="21"/>
        <v>105.25</v>
      </c>
      <c r="F35" s="10">
        <f t="shared" si="21"/>
        <v>-44.75</v>
      </c>
    </row>
    <row r="36" spans="1:94" x14ac:dyDescent="0.2">
      <c r="A36" s="10" t="s">
        <v>87</v>
      </c>
      <c r="B36" s="10">
        <f>(B12)</f>
        <v>200</v>
      </c>
      <c r="C36" s="10">
        <f>(C12)</f>
        <v>176.75</v>
      </c>
      <c r="D36" s="10">
        <f t="shared" ref="D36:F36" si="22">(D12)</f>
        <v>0</v>
      </c>
      <c r="E36" s="10">
        <f t="shared" si="22"/>
        <v>176.75</v>
      </c>
      <c r="F36" s="10">
        <f t="shared" si="22"/>
        <v>-23.25</v>
      </c>
    </row>
    <row r="37" spans="1:94" x14ac:dyDescent="0.2">
      <c r="A37" s="10" t="s">
        <v>88</v>
      </c>
      <c r="B37" s="10">
        <f>(B21)</f>
        <v>856</v>
      </c>
      <c r="C37" s="10">
        <f>(C21)</f>
        <v>810.5</v>
      </c>
      <c r="D37" s="10">
        <f t="shared" ref="D37:F37" si="23">(D21)</f>
        <v>0</v>
      </c>
      <c r="E37" s="10">
        <f t="shared" si="23"/>
        <v>810.5</v>
      </c>
      <c r="F37" s="10">
        <f t="shared" si="23"/>
        <v>-45.5</v>
      </c>
    </row>
    <row r="38" spans="1:94" x14ac:dyDescent="0.2">
      <c r="A38" s="10" t="s">
        <v>89</v>
      </c>
      <c r="B38" s="10">
        <f>(B32)</f>
        <v>1031.31</v>
      </c>
      <c r="C38" s="10">
        <f t="shared" ref="C38:F38" si="24">(C32)</f>
        <v>1147.25</v>
      </c>
      <c r="D38" s="10">
        <f t="shared" si="24"/>
        <v>32.25</v>
      </c>
      <c r="E38" s="10">
        <f t="shared" si="24"/>
        <v>1179.5</v>
      </c>
      <c r="F38" s="10">
        <f t="shared" si="24"/>
        <v>148.19</v>
      </c>
    </row>
    <row r="39" spans="1:94" s="15" customFormat="1" ht="16" thickBot="1" x14ac:dyDescent="0.25">
      <c r="A39" s="15" t="s">
        <v>58</v>
      </c>
      <c r="B39" s="15">
        <f>SUM(B6,B12,B21,B32)</f>
        <v>2237.31</v>
      </c>
      <c r="C39" s="15">
        <f t="shared" ref="C39:F39" si="25">SUM(C35:C38)</f>
        <v>2239.75</v>
      </c>
      <c r="D39" s="15">
        <f t="shared" si="25"/>
        <v>32.25</v>
      </c>
      <c r="E39" s="15">
        <f t="shared" si="25"/>
        <v>2272</v>
      </c>
      <c r="F39" s="15">
        <f t="shared" si="25"/>
        <v>34.69</v>
      </c>
      <c r="BA39" s="15">
        <f t="shared" ref="BA39:BI39" si="26">BA32+BA21+BA12+BA6</f>
        <v>36.75</v>
      </c>
      <c r="BB39" s="15">
        <f t="shared" si="26"/>
        <v>26.75</v>
      </c>
      <c r="BC39" s="15">
        <f t="shared" si="26"/>
        <v>3</v>
      </c>
      <c r="BD39" s="15">
        <f t="shared" si="26"/>
        <v>14.5</v>
      </c>
      <c r="BE39" s="15">
        <f t="shared" si="26"/>
        <v>27.5</v>
      </c>
      <c r="BF39" s="15">
        <f t="shared" si="26"/>
        <v>31.75</v>
      </c>
      <c r="BG39" s="15">
        <f t="shared" si="26"/>
        <v>38.75</v>
      </c>
      <c r="BH39" s="15">
        <f t="shared" si="26"/>
        <v>37.5</v>
      </c>
      <c r="BI39" s="15">
        <f t="shared" si="26"/>
        <v>47.75</v>
      </c>
      <c r="BQ39" s="15">
        <f>BQ32+BQ21+BQ12+BQ6</f>
        <v>16.75</v>
      </c>
    </row>
    <row r="42" spans="1:94" x14ac:dyDescent="0.2">
      <c r="B42" s="25"/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C7CA-6E33-4545-94F5-56C438A09BEB}">
  <dimension ref="A1:F17"/>
  <sheetViews>
    <sheetView workbookViewId="0">
      <selection activeCell="A20" sqref="A20"/>
    </sheetView>
  </sheetViews>
  <sheetFormatPr baseColWidth="10" defaultColWidth="11.5" defaultRowHeight="15" x14ac:dyDescent="0.2"/>
  <cols>
    <col min="1" max="1" width="34" bestFit="1" customWidth="1"/>
    <col min="2" max="2" width="13.5" bestFit="1" customWidth="1"/>
    <col min="3" max="3" width="15.5" customWidth="1"/>
    <col min="4" max="4" width="18.83203125" customWidth="1"/>
    <col min="5" max="5" width="20.6640625" customWidth="1"/>
    <col min="6" max="6" width="16.5" bestFit="1" customWidth="1"/>
  </cols>
  <sheetData>
    <row r="1" spans="1:6" s="32" customFormat="1" x14ac:dyDescent="0.2">
      <c r="A1" s="32" t="s">
        <v>90</v>
      </c>
      <c r="B1" s="32" t="s">
        <v>91</v>
      </c>
      <c r="C1" s="32" t="s">
        <v>92</v>
      </c>
      <c r="D1" s="32" t="s">
        <v>93</v>
      </c>
      <c r="E1" s="32" t="s">
        <v>94</v>
      </c>
      <c r="F1" s="32" t="s">
        <v>6</v>
      </c>
    </row>
    <row r="2" spans="1:6" x14ac:dyDescent="0.2">
      <c r="A2" t="s">
        <v>86</v>
      </c>
      <c r="B2">
        <f>('Timer Web'!B6)</f>
        <v>150</v>
      </c>
      <c r="C2">
        <f>('Timer Web'!E6)</f>
        <v>105.25</v>
      </c>
      <c r="D2" s="8">
        <f>(B2*650)</f>
        <v>97500</v>
      </c>
      <c r="E2" s="8">
        <f>(C2*670)</f>
        <v>70517.5</v>
      </c>
      <c r="F2" s="33">
        <f>(E2/D2)</f>
        <v>0.7232564102564103</v>
      </c>
    </row>
    <row r="3" spans="1:6" x14ac:dyDescent="0.2">
      <c r="A3" t="s">
        <v>95</v>
      </c>
      <c r="B3">
        <f>('Timer Web'!B12)</f>
        <v>200</v>
      </c>
      <c r="C3">
        <f>('Timer Web'!E12)</f>
        <v>176.75</v>
      </c>
      <c r="D3" s="8">
        <f t="shared" ref="D3:D4" si="0">(B3*670)</f>
        <v>134000</v>
      </c>
      <c r="E3" s="8">
        <f t="shared" ref="E3:E4" si="1">(C3*670)</f>
        <v>118422.5</v>
      </c>
      <c r="F3" s="33">
        <f t="shared" ref="F3:F5" si="2">(E3/D3)</f>
        <v>0.88375000000000004</v>
      </c>
    </row>
    <row r="4" spans="1:6" x14ac:dyDescent="0.2">
      <c r="A4" t="s">
        <v>96</v>
      </c>
      <c r="B4">
        <f>('Timer Web'!B21)</f>
        <v>856</v>
      </c>
      <c r="C4">
        <f>('Timer Web'!E21)</f>
        <v>810.5</v>
      </c>
      <c r="D4" s="8">
        <f t="shared" si="0"/>
        <v>573520</v>
      </c>
      <c r="E4" s="8">
        <f t="shared" si="1"/>
        <v>543035</v>
      </c>
      <c r="F4" s="33">
        <f t="shared" si="2"/>
        <v>0.94684579439252337</v>
      </c>
    </row>
    <row r="5" spans="1:6" x14ac:dyDescent="0.2">
      <c r="A5" t="s">
        <v>140</v>
      </c>
      <c r="B5">
        <f>('Timer Web'!B32)</f>
        <v>1031.31</v>
      </c>
      <c r="C5">
        <f>('Timer Web'!E32)</f>
        <v>1179.5</v>
      </c>
      <c r="D5" s="8">
        <f>(B5*670)</f>
        <v>690977.7</v>
      </c>
      <c r="E5" s="8">
        <f>(C5*690)</f>
        <v>813855</v>
      </c>
      <c r="F5" s="33">
        <f t="shared" si="2"/>
        <v>1.1778310645915202</v>
      </c>
    </row>
    <row r="6" spans="1:6" x14ac:dyDescent="0.2">
      <c r="A6" t="s">
        <v>97</v>
      </c>
      <c r="D6" s="8">
        <v>50000</v>
      </c>
      <c r="E6" s="8">
        <v>0</v>
      </c>
      <c r="F6" s="33"/>
    </row>
    <row r="7" spans="1:6" s="7" customFormat="1" ht="16" thickBot="1" x14ac:dyDescent="0.25">
      <c r="A7" s="7" t="s">
        <v>58</v>
      </c>
      <c r="B7" s="7">
        <f>SUM(B2:B5)</f>
        <v>2237.31</v>
      </c>
      <c r="C7" s="7">
        <f>SUM(C2:C5)</f>
        <v>2272</v>
      </c>
      <c r="D7" s="9">
        <f>SUM(D2:D6)</f>
        <v>1545997.7</v>
      </c>
      <c r="E7" s="9">
        <f>SUM(E2:E6)</f>
        <v>1545830</v>
      </c>
      <c r="F7" s="34">
        <f t="shared" ref="F7" si="3">(E7/D7)</f>
        <v>0.9998915263586744</v>
      </c>
    </row>
    <row r="8" spans="1:6" ht="16" thickTop="1" x14ac:dyDescent="0.2"/>
    <row r="9" spans="1:6" x14ac:dyDescent="0.2">
      <c r="A9" t="s">
        <v>98</v>
      </c>
    </row>
    <row r="10" spans="1:6" x14ac:dyDescent="0.2">
      <c r="A10" t="s">
        <v>99</v>
      </c>
    </row>
    <row r="12" spans="1:6" x14ac:dyDescent="0.2">
      <c r="A12" t="s">
        <v>100</v>
      </c>
    </row>
    <row r="14" spans="1:6" x14ac:dyDescent="0.2">
      <c r="A14" t="s">
        <v>139</v>
      </c>
    </row>
    <row r="15" spans="1:6" x14ac:dyDescent="0.2">
      <c r="A15" t="s">
        <v>141</v>
      </c>
    </row>
    <row r="17" spans="1:1" x14ac:dyDescent="0.2">
      <c r="A17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9B2E-0609-4DE8-99D2-236E51043C64}">
  <dimension ref="A1:F8"/>
  <sheetViews>
    <sheetView workbookViewId="0">
      <selection activeCell="D12" sqref="D12"/>
    </sheetView>
  </sheetViews>
  <sheetFormatPr baseColWidth="10" defaultColWidth="11.5" defaultRowHeight="15" x14ac:dyDescent="0.2"/>
  <cols>
    <col min="1" max="1" width="40" customWidth="1"/>
    <col min="2" max="3" width="8.5" style="30" customWidth="1"/>
    <col min="4" max="4" width="11.1640625" style="30" customWidth="1"/>
    <col min="5" max="6" width="8.5" style="30" customWidth="1"/>
  </cols>
  <sheetData>
    <row r="1" spans="1:6" s="10" customFormat="1" ht="14.5" customHeight="1" x14ac:dyDescent="0.2">
      <c r="A1" s="46" t="s">
        <v>0</v>
      </c>
      <c r="B1" s="46"/>
      <c r="C1" s="46"/>
      <c r="D1" s="13"/>
      <c r="E1" s="13"/>
      <c r="F1" s="13"/>
    </row>
    <row r="2" spans="1:6" s="10" customFormat="1" ht="14.5" customHeight="1" x14ac:dyDescent="0.2">
      <c r="A2" s="46"/>
      <c r="B2" s="46"/>
      <c r="C2" s="46"/>
      <c r="D2" s="13"/>
      <c r="E2" s="13"/>
      <c r="F2" s="13"/>
    </row>
    <row r="3" spans="1:6" s="5" customFormat="1" ht="32" x14ac:dyDescent="0.2">
      <c r="A3" s="1" t="s">
        <v>85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">
      <c r="A4" t="s">
        <v>101</v>
      </c>
      <c r="B4" s="30">
        <f>('Timer Web'!B39)</f>
        <v>2237.31</v>
      </c>
      <c r="C4" s="30">
        <f>('Timer Web'!C39)</f>
        <v>2239.75</v>
      </c>
      <c r="D4" s="30">
        <f>('Timer Web'!D39)</f>
        <v>32.25</v>
      </c>
      <c r="E4" s="30">
        <f>('Timer Web'!E39)</f>
        <v>2272</v>
      </c>
      <c r="F4" s="30">
        <f>('Timer Web'!F39)</f>
        <v>34.69</v>
      </c>
    </row>
    <row r="5" spans="1:6" x14ac:dyDescent="0.2">
      <c r="A5" t="s">
        <v>102</v>
      </c>
      <c r="C5" s="30">
        <f>('Timer Juss og AF'!C8)</f>
        <v>57.5</v>
      </c>
    </row>
    <row r="6" spans="1:6" x14ac:dyDescent="0.2">
      <c r="A6" t="s">
        <v>103</v>
      </c>
      <c r="C6" s="30">
        <f>('Timer Juss og AF'!C15)</f>
        <v>0</v>
      </c>
    </row>
    <row r="7" spans="1:6" s="26" customFormat="1" ht="16" thickBot="1" x14ac:dyDescent="0.25">
      <c r="A7" s="26" t="s">
        <v>58</v>
      </c>
      <c r="B7" s="29">
        <f>SUM(B4:B6)</f>
        <v>2237.31</v>
      </c>
      <c r="C7" s="29">
        <f t="shared" ref="C7:F7" si="0">SUM(C4:C6)</f>
        <v>2297.25</v>
      </c>
      <c r="D7" s="29">
        <f t="shared" si="0"/>
        <v>32.25</v>
      </c>
      <c r="E7" s="29">
        <f t="shared" si="0"/>
        <v>2272</v>
      </c>
      <c r="F7" s="29">
        <f t="shared" si="0"/>
        <v>34.69</v>
      </c>
    </row>
    <row r="8" spans="1:6" ht="16" thickTop="1" x14ac:dyDescent="0.2"/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39F6-3F6B-4952-8D16-6F6ACAC6FB3D}">
  <dimension ref="A1:E128"/>
  <sheetViews>
    <sheetView topLeftCell="A100" zoomScaleNormal="100" workbookViewId="0">
      <selection activeCell="C133" sqref="C133"/>
    </sheetView>
  </sheetViews>
  <sheetFormatPr baseColWidth="10" defaultColWidth="11.5" defaultRowHeight="15" outlineLevelRow="1" x14ac:dyDescent="0.2"/>
  <cols>
    <col min="1" max="1" width="34.5" customWidth="1"/>
    <col min="2" max="2" width="16.5" customWidth="1"/>
    <col min="3" max="4" width="18.5" customWidth="1"/>
    <col min="5" max="5" width="23.83203125" customWidth="1"/>
  </cols>
  <sheetData>
    <row r="1" spans="1:5" x14ac:dyDescent="0.2">
      <c r="A1" s="4" t="s">
        <v>104</v>
      </c>
    </row>
    <row r="2" spans="1:5" s="6" customFormat="1" x14ac:dyDescent="0.2">
      <c r="A2" s="6" t="s">
        <v>90</v>
      </c>
      <c r="B2" s="6" t="s">
        <v>105</v>
      </c>
      <c r="C2" s="6" t="s">
        <v>106</v>
      </c>
      <c r="D2" s="6" t="s">
        <v>107</v>
      </c>
      <c r="E2" s="6" t="s">
        <v>108</v>
      </c>
    </row>
    <row r="3" spans="1:5" x14ac:dyDescent="0.2">
      <c r="A3" t="s">
        <v>86</v>
      </c>
      <c r="B3">
        <f>SUM('Timer Web'!G6:L6)</f>
        <v>101.25</v>
      </c>
      <c r="C3" s="8">
        <f>(B3*670)</f>
        <v>67837.5</v>
      </c>
      <c r="D3" s="8"/>
      <c r="E3" s="8"/>
    </row>
    <row r="4" spans="1:5" x14ac:dyDescent="0.2">
      <c r="A4" t="s">
        <v>95</v>
      </c>
      <c r="B4">
        <f>SUM('Timer Web'!G12:L12)</f>
        <v>56.25</v>
      </c>
      <c r="C4" s="8">
        <f t="shared" ref="C4:C7" si="0">(B4*670)</f>
        <v>37687.5</v>
      </c>
      <c r="D4" s="8"/>
      <c r="E4" s="8"/>
    </row>
    <row r="5" spans="1:5" x14ac:dyDescent="0.2">
      <c r="A5" t="s">
        <v>96</v>
      </c>
      <c r="B5">
        <f>SUM('Timer Web'!G21:L21)</f>
        <v>0</v>
      </c>
      <c r="C5" s="8">
        <f t="shared" si="0"/>
        <v>0</v>
      </c>
      <c r="D5" s="8"/>
      <c r="E5" s="8"/>
    </row>
    <row r="6" spans="1:5" x14ac:dyDescent="0.2">
      <c r="A6" t="s">
        <v>109</v>
      </c>
      <c r="C6" s="8">
        <f t="shared" si="0"/>
        <v>0</v>
      </c>
      <c r="D6" s="8"/>
      <c r="E6" s="8"/>
    </row>
    <row r="7" spans="1:5" x14ac:dyDescent="0.2">
      <c r="A7" t="s">
        <v>110</v>
      </c>
      <c r="C7" s="8">
        <f t="shared" si="0"/>
        <v>0</v>
      </c>
      <c r="D7" s="8"/>
      <c r="E7" s="8"/>
    </row>
    <row r="8" spans="1:5" s="7" customFormat="1" ht="16" thickBot="1" x14ac:dyDescent="0.25">
      <c r="A8" s="7" t="s">
        <v>58</v>
      </c>
      <c r="B8" s="7">
        <f>SUM(B3:B7)</f>
        <v>157.5</v>
      </c>
      <c r="C8" s="9">
        <f>SUM(C3:C7)</f>
        <v>105525</v>
      </c>
      <c r="D8" s="9"/>
      <c r="E8" s="9">
        <f>(C8-D8)</f>
        <v>105525</v>
      </c>
    </row>
    <row r="9" spans="1:5" s="16" customFormat="1" ht="16" thickTop="1" x14ac:dyDescent="0.2">
      <c r="C9" s="17"/>
      <c r="D9" s="17"/>
      <c r="E9" s="17"/>
    </row>
    <row r="10" spans="1:5" x14ac:dyDescent="0.2">
      <c r="A10" s="4" t="s">
        <v>111</v>
      </c>
    </row>
    <row r="11" spans="1:5" s="6" customFormat="1" x14ac:dyDescent="0.2">
      <c r="A11" s="6" t="s">
        <v>90</v>
      </c>
      <c r="B11" s="6" t="s">
        <v>105</v>
      </c>
      <c r="C11" s="6" t="s">
        <v>106</v>
      </c>
      <c r="D11" s="6" t="s">
        <v>107</v>
      </c>
      <c r="E11" s="6" t="s">
        <v>108</v>
      </c>
    </row>
    <row r="12" spans="1:5" x14ac:dyDescent="0.2">
      <c r="A12" t="s">
        <v>86</v>
      </c>
      <c r="B12">
        <f>SUM('Timer Web'!M6:P6)</f>
        <v>4</v>
      </c>
      <c r="C12" s="8">
        <f>(B12*670)</f>
        <v>2680</v>
      </c>
      <c r="D12" s="8"/>
      <c r="E12" s="8"/>
    </row>
    <row r="13" spans="1:5" x14ac:dyDescent="0.2">
      <c r="A13" t="s">
        <v>95</v>
      </c>
      <c r="B13">
        <f>SUM('Timer Web'!M12:P12)</f>
        <v>119.5</v>
      </c>
      <c r="C13" s="8">
        <f t="shared" ref="C13:C16" si="1">(B13*670)</f>
        <v>80065</v>
      </c>
      <c r="D13" s="8"/>
      <c r="E13" s="8"/>
    </row>
    <row r="14" spans="1:5" x14ac:dyDescent="0.2">
      <c r="A14" t="s">
        <v>96</v>
      </c>
      <c r="B14">
        <f>SUM('Timer Web'!M21:P21)</f>
        <v>16.75</v>
      </c>
      <c r="C14" s="8">
        <f t="shared" si="1"/>
        <v>11222.5</v>
      </c>
      <c r="D14" s="8"/>
      <c r="E14" s="8"/>
    </row>
    <row r="15" spans="1:5" x14ac:dyDescent="0.2">
      <c r="A15" t="s">
        <v>109</v>
      </c>
      <c r="C15" s="8">
        <f t="shared" si="1"/>
        <v>0</v>
      </c>
      <c r="D15" s="8"/>
      <c r="E15" s="8"/>
    </row>
    <row r="16" spans="1:5" x14ac:dyDescent="0.2">
      <c r="A16" t="s">
        <v>110</v>
      </c>
      <c r="C16" s="8">
        <f t="shared" si="1"/>
        <v>0</v>
      </c>
      <c r="D16" s="8"/>
      <c r="E16" s="8"/>
    </row>
    <row r="17" spans="1:5" s="7" customFormat="1" ht="16" thickBot="1" x14ac:dyDescent="0.25">
      <c r="A17" s="7" t="s">
        <v>58</v>
      </c>
      <c r="B17" s="7">
        <f>SUM(B12:B16)</f>
        <v>140.25</v>
      </c>
      <c r="C17" s="9">
        <f>SUM(C12:C16)</f>
        <v>93967.5</v>
      </c>
      <c r="D17" s="9"/>
      <c r="E17" s="9">
        <f>(C17-D17)</f>
        <v>93967.5</v>
      </c>
    </row>
    <row r="18" spans="1:5" s="16" customFormat="1" ht="16" thickTop="1" x14ac:dyDescent="0.2">
      <c r="C18" s="17"/>
      <c r="D18" s="17"/>
      <c r="E18" s="17"/>
    </row>
    <row r="19" spans="1:5" x14ac:dyDescent="0.2">
      <c r="A19" s="4" t="s">
        <v>112</v>
      </c>
    </row>
    <row r="20" spans="1:5" s="6" customFormat="1" x14ac:dyDescent="0.2">
      <c r="A20" s="6" t="s">
        <v>90</v>
      </c>
      <c r="B20" s="6" t="s">
        <v>105</v>
      </c>
      <c r="C20" s="6" t="s">
        <v>106</v>
      </c>
      <c r="D20" s="6" t="s">
        <v>107</v>
      </c>
      <c r="E20" s="6" t="s">
        <v>108</v>
      </c>
    </row>
    <row r="21" spans="1:5" x14ac:dyDescent="0.2">
      <c r="A21" t="s">
        <v>86</v>
      </c>
      <c r="B21">
        <f>SUM('Timer Web'!Q6:T6)</f>
        <v>0</v>
      </c>
      <c r="C21" s="8">
        <f>(B21*670)</f>
        <v>0</v>
      </c>
      <c r="D21" s="8"/>
      <c r="E21" s="8"/>
    </row>
    <row r="22" spans="1:5" x14ac:dyDescent="0.2">
      <c r="A22" t="s">
        <v>95</v>
      </c>
      <c r="B22">
        <f>SUM('Timer Web'!Q12:T12)</f>
        <v>1</v>
      </c>
      <c r="C22" s="8">
        <f t="shared" ref="C22:C25" si="2">(B22*670)</f>
        <v>670</v>
      </c>
      <c r="D22" s="8"/>
      <c r="E22" s="8"/>
    </row>
    <row r="23" spans="1:5" x14ac:dyDescent="0.2">
      <c r="A23" t="s">
        <v>96</v>
      </c>
      <c r="B23">
        <f>SUM('Timer Web'!Q21:T21)</f>
        <v>86.75</v>
      </c>
      <c r="C23" s="8">
        <f t="shared" si="2"/>
        <v>58122.5</v>
      </c>
      <c r="D23" s="8"/>
      <c r="E23" s="8"/>
    </row>
    <row r="24" spans="1:5" x14ac:dyDescent="0.2">
      <c r="A24" t="s">
        <v>109</v>
      </c>
      <c r="C24" s="8">
        <f t="shared" si="2"/>
        <v>0</v>
      </c>
      <c r="D24" s="8"/>
      <c r="E24" s="8"/>
    </row>
    <row r="25" spans="1:5" x14ac:dyDescent="0.2">
      <c r="A25" t="s">
        <v>110</v>
      </c>
      <c r="C25" s="8">
        <f t="shared" si="2"/>
        <v>0</v>
      </c>
      <c r="D25" s="8"/>
      <c r="E25" s="8"/>
    </row>
    <row r="26" spans="1:5" s="7" customFormat="1" ht="16" thickBot="1" x14ac:dyDescent="0.25">
      <c r="A26" s="7" t="s">
        <v>58</v>
      </c>
      <c r="B26" s="7">
        <f>SUM(B21:B25)</f>
        <v>87.75</v>
      </c>
      <c r="C26" s="9">
        <f>SUM(C21:C25)</f>
        <v>58792.5</v>
      </c>
      <c r="D26" s="9"/>
      <c r="E26" s="9">
        <f>(C26-D26)</f>
        <v>58792.5</v>
      </c>
    </row>
    <row r="27" spans="1:5" ht="16" thickTop="1" x14ac:dyDescent="0.2"/>
    <row r="28" spans="1:5" outlineLevel="1" x14ac:dyDescent="0.2">
      <c r="A28" s="4" t="s">
        <v>113</v>
      </c>
    </row>
    <row r="29" spans="1:5" s="6" customFormat="1" outlineLevel="1" x14ac:dyDescent="0.2">
      <c r="A29" s="6" t="s">
        <v>90</v>
      </c>
      <c r="B29" s="6" t="s">
        <v>105</v>
      </c>
      <c r="C29" s="6" t="s">
        <v>106</v>
      </c>
      <c r="D29" s="6" t="s">
        <v>107</v>
      </c>
      <c r="E29" s="6" t="s">
        <v>108</v>
      </c>
    </row>
    <row r="30" spans="1:5" outlineLevel="1" x14ac:dyDescent="0.2">
      <c r="A30" t="s">
        <v>96</v>
      </c>
      <c r="B30">
        <f>SUM('Timer Web'!U21:Y21)</f>
        <v>121.25</v>
      </c>
      <c r="C30" s="8">
        <f t="shared" ref="C30:C32" si="3">(B30*670)</f>
        <v>81237.5</v>
      </c>
      <c r="D30" s="8"/>
      <c r="E30" s="8"/>
    </row>
    <row r="31" spans="1:5" outlineLevel="1" x14ac:dyDescent="0.2">
      <c r="A31" t="s">
        <v>109</v>
      </c>
      <c r="C31" s="8">
        <f t="shared" si="3"/>
        <v>0</v>
      </c>
      <c r="D31" s="8"/>
      <c r="E31" s="8"/>
    </row>
    <row r="32" spans="1:5" outlineLevel="1" x14ac:dyDescent="0.2">
      <c r="A32" t="s">
        <v>110</v>
      </c>
      <c r="C32" s="8">
        <f t="shared" si="3"/>
        <v>0</v>
      </c>
      <c r="D32" s="8"/>
      <c r="E32" s="8"/>
    </row>
    <row r="33" spans="1:5" s="7" customFormat="1" ht="16" outlineLevel="1" thickBot="1" x14ac:dyDescent="0.25">
      <c r="A33" s="7" t="s">
        <v>58</v>
      </c>
      <c r="B33" s="7">
        <f>SUM(B30:B32)</f>
        <v>121.25</v>
      </c>
      <c r="C33" s="9">
        <f>SUM(C30:C32)</f>
        <v>81237.5</v>
      </c>
      <c r="D33" s="9"/>
      <c r="E33" s="9">
        <f>(C33-D33)</f>
        <v>81237.5</v>
      </c>
    </row>
    <row r="34" spans="1:5" ht="16" outlineLevel="1" thickTop="1" x14ac:dyDescent="0.2"/>
    <row r="35" spans="1:5" outlineLevel="1" x14ac:dyDescent="0.2">
      <c r="A35" s="4" t="s">
        <v>114</v>
      </c>
    </row>
    <row r="36" spans="1:5" s="6" customFormat="1" outlineLevel="1" x14ac:dyDescent="0.2">
      <c r="A36" s="6" t="s">
        <v>90</v>
      </c>
      <c r="B36" s="6" t="s">
        <v>105</v>
      </c>
      <c r="C36" s="6" t="s">
        <v>106</v>
      </c>
      <c r="D36" s="6" t="s">
        <v>107</v>
      </c>
      <c r="E36" s="6" t="s">
        <v>108</v>
      </c>
    </row>
    <row r="37" spans="1:5" outlineLevel="1" x14ac:dyDescent="0.2">
      <c r="A37" t="s">
        <v>86</v>
      </c>
      <c r="C37" s="8">
        <f>(B37*670)</f>
        <v>0</v>
      </c>
      <c r="D37" s="8"/>
      <c r="E37" s="8"/>
    </row>
    <row r="38" spans="1:5" outlineLevel="1" x14ac:dyDescent="0.2">
      <c r="A38" t="s">
        <v>95</v>
      </c>
      <c r="B38">
        <f>SUM('Timer Web'!Z12:AC12)</f>
        <v>0</v>
      </c>
      <c r="C38" s="8">
        <f t="shared" ref="C38:C40" si="4">(B38*670)</f>
        <v>0</v>
      </c>
      <c r="D38" s="8"/>
      <c r="E38" s="8"/>
    </row>
    <row r="39" spans="1:5" outlineLevel="1" x14ac:dyDescent="0.2">
      <c r="A39" t="s">
        <v>96</v>
      </c>
      <c r="B39">
        <f>SUM('Timer Web'!Z21:AC21)</f>
        <v>149</v>
      </c>
      <c r="C39" s="8">
        <f t="shared" si="4"/>
        <v>99830</v>
      </c>
      <c r="D39" s="8"/>
      <c r="E39" s="8"/>
    </row>
    <row r="40" spans="1:5" outlineLevel="1" x14ac:dyDescent="0.2">
      <c r="A40" t="s">
        <v>109</v>
      </c>
      <c r="B40">
        <f>SUM('Timer Web'!Z32:AC32)</f>
        <v>0</v>
      </c>
      <c r="C40" s="8">
        <f t="shared" si="4"/>
        <v>0</v>
      </c>
      <c r="D40" s="8"/>
      <c r="E40" s="8"/>
    </row>
    <row r="41" spans="1:5" s="7" customFormat="1" ht="16" outlineLevel="1" thickBot="1" x14ac:dyDescent="0.25">
      <c r="A41" s="7" t="s">
        <v>58</v>
      </c>
      <c r="B41" s="7">
        <f>SUM(B37:B40)</f>
        <v>149</v>
      </c>
      <c r="C41" s="9">
        <f>SUM(C37:C40)</f>
        <v>99830</v>
      </c>
      <c r="D41" s="9"/>
      <c r="E41" s="9">
        <f>(C41-D41)</f>
        <v>99830</v>
      </c>
    </row>
    <row r="42" spans="1:5" ht="16" outlineLevel="1" thickTop="1" x14ac:dyDescent="0.2"/>
    <row r="43" spans="1:5" outlineLevel="1" x14ac:dyDescent="0.2">
      <c r="A43" s="4" t="s">
        <v>115</v>
      </c>
    </row>
    <row r="44" spans="1:5" s="6" customFormat="1" outlineLevel="1" x14ac:dyDescent="0.2">
      <c r="A44" s="6" t="s">
        <v>90</v>
      </c>
      <c r="B44" s="6" t="s">
        <v>105</v>
      </c>
      <c r="C44" s="6" t="s">
        <v>106</v>
      </c>
      <c r="D44" s="6" t="s">
        <v>107</v>
      </c>
      <c r="E44" s="6" t="s">
        <v>108</v>
      </c>
    </row>
    <row r="45" spans="1:5" outlineLevel="1" x14ac:dyDescent="0.2">
      <c r="A45" t="s">
        <v>96</v>
      </c>
      <c r="B45">
        <f>SUM('Timer Web'!AD21:AH21)</f>
        <v>20.5</v>
      </c>
      <c r="C45" s="8">
        <f t="shared" ref="C45:C46" si="5">(B45*670)</f>
        <v>13735</v>
      </c>
      <c r="D45" s="8"/>
      <c r="E45" s="8"/>
    </row>
    <row r="46" spans="1:5" outlineLevel="1" x14ac:dyDescent="0.2">
      <c r="A46" t="s">
        <v>109</v>
      </c>
      <c r="B46">
        <f>SUM('Timer Web'!AD32:AH32)</f>
        <v>0</v>
      </c>
      <c r="C46" s="8">
        <f t="shared" si="5"/>
        <v>0</v>
      </c>
      <c r="D46" s="8"/>
      <c r="E46" s="8"/>
    </row>
    <row r="47" spans="1:5" s="7" customFormat="1" ht="16" outlineLevel="1" thickBot="1" x14ac:dyDescent="0.25">
      <c r="A47" s="7" t="s">
        <v>58</v>
      </c>
      <c r="B47" s="7">
        <f>SUM(B45:B46)</f>
        <v>20.5</v>
      </c>
      <c r="C47" s="9">
        <f>SUM(C45:C46)</f>
        <v>13735</v>
      </c>
      <c r="D47" s="9"/>
      <c r="E47" s="9">
        <f>(C47-D47)</f>
        <v>13735</v>
      </c>
    </row>
    <row r="48" spans="1:5" ht="16" outlineLevel="1" thickTop="1" x14ac:dyDescent="0.2"/>
    <row r="49" spans="1:5" outlineLevel="1" x14ac:dyDescent="0.2">
      <c r="A49" s="4" t="s">
        <v>116</v>
      </c>
    </row>
    <row r="50" spans="1:5" s="6" customFormat="1" outlineLevel="1" x14ac:dyDescent="0.2">
      <c r="A50" s="6" t="s">
        <v>90</v>
      </c>
      <c r="B50" s="6" t="s">
        <v>105</v>
      </c>
      <c r="C50" s="6" t="s">
        <v>106</v>
      </c>
      <c r="D50" s="6" t="s">
        <v>107</v>
      </c>
      <c r="E50" s="6" t="s">
        <v>108</v>
      </c>
    </row>
    <row r="51" spans="1:5" outlineLevel="1" x14ac:dyDescent="0.2">
      <c r="A51" t="s">
        <v>96</v>
      </c>
      <c r="B51">
        <f>SUM('Timer Web'!AI21:AL21)</f>
        <v>151.5</v>
      </c>
      <c r="C51" s="8">
        <f t="shared" ref="C51:C52" si="6">(B51*670)</f>
        <v>101505</v>
      </c>
      <c r="D51" s="8"/>
      <c r="E51" s="8"/>
    </row>
    <row r="52" spans="1:5" outlineLevel="1" x14ac:dyDescent="0.2">
      <c r="A52" t="s">
        <v>109</v>
      </c>
      <c r="B52">
        <f>SUM('Timer Web'!AI32:AL32)</f>
        <v>0</v>
      </c>
      <c r="C52" s="8">
        <f t="shared" si="6"/>
        <v>0</v>
      </c>
      <c r="D52" s="8"/>
      <c r="E52" s="8"/>
    </row>
    <row r="53" spans="1:5" s="7" customFormat="1" ht="16" outlineLevel="1" thickBot="1" x14ac:dyDescent="0.25">
      <c r="A53" s="7" t="s">
        <v>58</v>
      </c>
      <c r="B53" s="7">
        <f>SUM(B51:B52)</f>
        <v>151.5</v>
      </c>
      <c r="C53" s="9">
        <f>SUM(C51:C52)</f>
        <v>101505</v>
      </c>
      <c r="D53" s="9"/>
      <c r="E53" s="9">
        <f>(C53-D53)</f>
        <v>101505</v>
      </c>
    </row>
    <row r="54" spans="1:5" ht="16" outlineLevel="1" thickTop="1" x14ac:dyDescent="0.2"/>
    <row r="55" spans="1:5" outlineLevel="1" x14ac:dyDescent="0.2">
      <c r="A55" s="4" t="s">
        <v>117</v>
      </c>
    </row>
    <row r="56" spans="1:5" s="6" customFormat="1" outlineLevel="1" x14ac:dyDescent="0.2">
      <c r="A56" s="6" t="s">
        <v>90</v>
      </c>
      <c r="B56" s="6" t="s">
        <v>105</v>
      </c>
      <c r="C56" s="6" t="s">
        <v>106</v>
      </c>
      <c r="D56" s="6" t="s">
        <v>107</v>
      </c>
      <c r="E56" s="6" t="s">
        <v>108</v>
      </c>
    </row>
    <row r="57" spans="1:5" outlineLevel="1" x14ac:dyDescent="0.2">
      <c r="A57" t="s">
        <v>96</v>
      </c>
      <c r="B57">
        <f>SUM('Timer Web'!AM21:AP21)</f>
        <v>69.5</v>
      </c>
      <c r="C57" s="8">
        <f t="shared" ref="C57:C58" si="7">(B57*670)</f>
        <v>46565</v>
      </c>
      <c r="D57" s="8"/>
      <c r="E57" s="8"/>
    </row>
    <row r="58" spans="1:5" outlineLevel="1" x14ac:dyDescent="0.2">
      <c r="A58" t="s">
        <v>109</v>
      </c>
      <c r="B58">
        <f>SUM('Timer Web'!AM32:AP32)</f>
        <v>16</v>
      </c>
      <c r="C58" s="8">
        <f t="shared" si="7"/>
        <v>10720</v>
      </c>
      <c r="D58" s="8"/>
      <c r="E58" s="8"/>
    </row>
    <row r="59" spans="1:5" s="7" customFormat="1" ht="16" outlineLevel="1" thickBot="1" x14ac:dyDescent="0.25">
      <c r="A59" s="7" t="s">
        <v>58</v>
      </c>
      <c r="B59" s="7">
        <f>SUM(B57:B58)</f>
        <v>85.5</v>
      </c>
      <c r="C59" s="9">
        <f>SUM(C57:C58)</f>
        <v>57285</v>
      </c>
      <c r="D59" s="9"/>
      <c r="E59" s="9">
        <f>(C59-D59)</f>
        <v>57285</v>
      </c>
    </row>
    <row r="60" spans="1:5" ht="16" outlineLevel="1" thickTop="1" x14ac:dyDescent="0.2"/>
    <row r="61" spans="1:5" outlineLevel="1" x14ac:dyDescent="0.2">
      <c r="A61" s="4" t="s">
        <v>118</v>
      </c>
    </row>
    <row r="62" spans="1:5" s="6" customFormat="1" outlineLevel="1" x14ac:dyDescent="0.2">
      <c r="A62" s="6" t="s">
        <v>90</v>
      </c>
      <c r="B62" s="6" t="s">
        <v>105</v>
      </c>
      <c r="C62" s="6" t="s">
        <v>106</v>
      </c>
      <c r="D62" s="6" t="s">
        <v>107</v>
      </c>
      <c r="E62" s="6" t="s">
        <v>108</v>
      </c>
    </row>
    <row r="63" spans="1:5" outlineLevel="1" x14ac:dyDescent="0.2">
      <c r="A63" t="s">
        <v>96</v>
      </c>
      <c r="B63">
        <f>SUM('Timer Web'!AQ21:AU21)</f>
        <v>86.5</v>
      </c>
      <c r="C63" s="8">
        <f t="shared" ref="C63:C64" si="8">(B63*670)</f>
        <v>57955</v>
      </c>
      <c r="D63" s="8"/>
      <c r="E63" s="8"/>
    </row>
    <row r="64" spans="1:5" outlineLevel="1" x14ac:dyDescent="0.2">
      <c r="A64" t="s">
        <v>109</v>
      </c>
      <c r="B64">
        <f>SUM('Timer Web'!AQ32:AU32)</f>
        <v>37.75</v>
      </c>
      <c r="C64" s="8">
        <f t="shared" si="8"/>
        <v>25292.5</v>
      </c>
      <c r="D64" s="8"/>
      <c r="E64" s="8"/>
    </row>
    <row r="65" spans="1:5" s="7" customFormat="1" ht="16" outlineLevel="1" thickBot="1" x14ac:dyDescent="0.25">
      <c r="A65" s="7" t="s">
        <v>58</v>
      </c>
      <c r="B65" s="7">
        <f>SUM(B63:B64)</f>
        <v>124.25</v>
      </c>
      <c r="C65" s="9">
        <f>SUM(C63:C64)</f>
        <v>83247.5</v>
      </c>
      <c r="D65" s="9"/>
      <c r="E65" s="9">
        <f>(C65-D65)</f>
        <v>83247.5</v>
      </c>
    </row>
    <row r="66" spans="1:5" ht="16" outlineLevel="1" thickTop="1" x14ac:dyDescent="0.2"/>
    <row r="67" spans="1:5" outlineLevel="1" x14ac:dyDescent="0.2">
      <c r="A67" s="4" t="s">
        <v>119</v>
      </c>
    </row>
    <row r="68" spans="1:5" s="6" customFormat="1" outlineLevel="1" x14ac:dyDescent="0.2">
      <c r="A68" s="6" t="s">
        <v>90</v>
      </c>
      <c r="B68" s="6" t="s">
        <v>105</v>
      </c>
      <c r="C68" s="6" t="s">
        <v>106</v>
      </c>
      <c r="D68" s="6" t="s">
        <v>107</v>
      </c>
      <c r="E68" s="6" t="s">
        <v>108</v>
      </c>
    </row>
    <row r="69" spans="1:5" outlineLevel="1" x14ac:dyDescent="0.2">
      <c r="A69" t="s">
        <v>96</v>
      </c>
      <c r="B69">
        <f>SUM('Timer Web'!AV21:AY21)</f>
        <v>34.25</v>
      </c>
      <c r="C69" s="8">
        <f t="shared" ref="C69:C70" si="9">(B69*670)</f>
        <v>22947.5</v>
      </c>
      <c r="D69" s="8"/>
      <c r="E69" s="8"/>
    </row>
    <row r="70" spans="1:5" outlineLevel="1" x14ac:dyDescent="0.2">
      <c r="A70" t="s">
        <v>109</v>
      </c>
      <c r="B70">
        <f>SUM('Timer Web'!AV32:AY32)</f>
        <v>25.25</v>
      </c>
      <c r="C70" s="8">
        <f t="shared" si="9"/>
        <v>16917.5</v>
      </c>
      <c r="D70" s="8"/>
      <c r="E70" s="8"/>
    </row>
    <row r="71" spans="1:5" s="7" customFormat="1" ht="16" outlineLevel="1" thickBot="1" x14ac:dyDescent="0.25">
      <c r="A71" s="7" t="s">
        <v>58</v>
      </c>
      <c r="B71" s="7">
        <f>SUM(B69:B70)</f>
        <v>59.5</v>
      </c>
      <c r="C71" s="9">
        <f>SUM(C69:C70)</f>
        <v>39865</v>
      </c>
      <c r="D71" s="9"/>
      <c r="E71" s="9">
        <f>(C71-D71)</f>
        <v>39865</v>
      </c>
    </row>
    <row r="72" spans="1:5" ht="16" outlineLevel="1" thickTop="1" x14ac:dyDescent="0.2"/>
    <row r="73" spans="1:5" outlineLevel="1" x14ac:dyDescent="0.2">
      <c r="A73" s="4" t="s">
        <v>120</v>
      </c>
    </row>
    <row r="74" spans="1:5" s="6" customFormat="1" outlineLevel="1" x14ac:dyDescent="0.2">
      <c r="A74" s="6" t="s">
        <v>90</v>
      </c>
      <c r="B74" s="6" t="s">
        <v>105</v>
      </c>
      <c r="C74" s="6" t="s">
        <v>106</v>
      </c>
      <c r="D74" s="6" t="s">
        <v>107</v>
      </c>
      <c r="E74" s="6" t="s">
        <v>108</v>
      </c>
    </row>
    <row r="75" spans="1:5" outlineLevel="1" x14ac:dyDescent="0.2">
      <c r="A75" t="s">
        <v>96</v>
      </c>
      <c r="B75">
        <f>SUM('Timer Web'!AZ21:BC21)</f>
        <v>57</v>
      </c>
      <c r="C75" s="8">
        <f t="shared" ref="C75:C76" si="10">(B75*670)</f>
        <v>38190</v>
      </c>
      <c r="D75" s="8"/>
      <c r="E75" s="8"/>
    </row>
    <row r="76" spans="1:5" outlineLevel="1" x14ac:dyDescent="0.2">
      <c r="A76" t="s">
        <v>109</v>
      </c>
      <c r="B76">
        <f>SUM('Timer Web'!AZ32:BC32)</f>
        <v>47.5</v>
      </c>
      <c r="C76" s="8">
        <f t="shared" si="10"/>
        <v>31825</v>
      </c>
      <c r="D76" s="8"/>
      <c r="E76" s="8"/>
    </row>
    <row r="77" spans="1:5" s="7" customFormat="1" ht="16" outlineLevel="1" thickBot="1" x14ac:dyDescent="0.25">
      <c r="A77" s="7" t="s">
        <v>58</v>
      </c>
      <c r="B77" s="7">
        <f>SUM(B75:B76)</f>
        <v>104.5</v>
      </c>
      <c r="C77" s="9">
        <f>SUM(C75:C76)</f>
        <v>70015</v>
      </c>
      <c r="D77" s="9"/>
      <c r="E77" s="9">
        <f>(C77-D77)</f>
        <v>70015</v>
      </c>
    </row>
    <row r="78" spans="1:5" s="41" customFormat="1" outlineLevel="1" x14ac:dyDescent="0.2">
      <c r="C78" s="42"/>
      <c r="D78" s="42"/>
      <c r="E78" s="42"/>
    </row>
    <row r="79" spans="1:5" outlineLevel="1" x14ac:dyDescent="0.2">
      <c r="A79" s="4" t="s">
        <v>121</v>
      </c>
    </row>
    <row r="80" spans="1:5" s="6" customFormat="1" outlineLevel="1" x14ac:dyDescent="0.2">
      <c r="A80" s="6" t="s">
        <v>90</v>
      </c>
      <c r="B80" s="6" t="s">
        <v>105</v>
      </c>
      <c r="C80" s="6" t="s">
        <v>106</v>
      </c>
      <c r="D80" s="6" t="s">
        <v>107</v>
      </c>
      <c r="E80" s="6" t="s">
        <v>108</v>
      </c>
    </row>
    <row r="81" spans="1:5" outlineLevel="1" x14ac:dyDescent="0.2">
      <c r="A81" t="s">
        <v>96</v>
      </c>
      <c r="B81">
        <f>SUM('Timer Web'!BD21:BH21)</f>
        <v>17.5</v>
      </c>
      <c r="C81" s="8">
        <f>(B81*690)</f>
        <v>12075</v>
      </c>
      <c r="D81" s="8"/>
      <c r="E81" s="8"/>
    </row>
    <row r="82" spans="1:5" outlineLevel="1" x14ac:dyDescent="0.2">
      <c r="A82" t="s">
        <v>109</v>
      </c>
      <c r="B82">
        <f>SUM('Timer Web'!BD32:BH32)</f>
        <v>132.5</v>
      </c>
      <c r="C82" s="8">
        <f>(B82*690)</f>
        <v>91425</v>
      </c>
      <c r="D82" s="8"/>
      <c r="E82" s="8"/>
    </row>
    <row r="83" spans="1:5" s="7" customFormat="1" outlineLevel="1" x14ac:dyDescent="0.2">
      <c r="A83" s="7" t="s">
        <v>58</v>
      </c>
      <c r="B83" s="7">
        <f>SUM(B81:B82)</f>
        <v>150</v>
      </c>
      <c r="C83" s="9">
        <f>SUM(C81:C82)</f>
        <v>103500</v>
      </c>
      <c r="D83" s="9"/>
      <c r="E83" s="9">
        <f>(C83-D83)</f>
        <v>103500</v>
      </c>
    </row>
    <row r="84" spans="1:5" s="43" customFormat="1" outlineLevel="1" x14ac:dyDescent="0.2">
      <c r="C84" s="44"/>
      <c r="D84" s="44"/>
      <c r="E84" s="44"/>
    </row>
    <row r="85" spans="1:5" outlineLevel="1" x14ac:dyDescent="0.2">
      <c r="A85" s="4" t="s">
        <v>122</v>
      </c>
    </row>
    <row r="86" spans="1:5" s="6" customFormat="1" outlineLevel="1" x14ac:dyDescent="0.2">
      <c r="A86" s="6" t="s">
        <v>90</v>
      </c>
      <c r="B86" s="6" t="s">
        <v>105</v>
      </c>
      <c r="C86" s="6" t="s">
        <v>106</v>
      </c>
      <c r="D86" s="6" t="s">
        <v>107</v>
      </c>
      <c r="E86" s="6" t="s">
        <v>108</v>
      </c>
    </row>
    <row r="87" spans="1:5" outlineLevel="1" x14ac:dyDescent="0.2">
      <c r="A87" t="s">
        <v>109</v>
      </c>
      <c r="B87">
        <f>SUM('Timer Web'!BI32:BL32)</f>
        <v>191.5</v>
      </c>
      <c r="C87" s="8">
        <f>(B87*690)</f>
        <v>132135</v>
      </c>
      <c r="D87" s="8"/>
      <c r="E87" s="8"/>
    </row>
    <row r="88" spans="1:5" s="7" customFormat="1" outlineLevel="1" x14ac:dyDescent="0.2">
      <c r="A88" s="7" t="s">
        <v>58</v>
      </c>
      <c r="B88" s="7">
        <f>SUM(B87:B87)</f>
        <v>191.5</v>
      </c>
      <c r="C88" s="9">
        <f>SUM(C87:C87)</f>
        <v>132135</v>
      </c>
      <c r="D88" s="9"/>
      <c r="E88" s="9">
        <f>(C88-D88)</f>
        <v>132135</v>
      </c>
    </row>
    <row r="90" spans="1:5" outlineLevel="1" x14ac:dyDescent="0.2">
      <c r="A90" s="4" t="s">
        <v>111</v>
      </c>
    </row>
    <row r="91" spans="1:5" s="6" customFormat="1" outlineLevel="1" x14ac:dyDescent="0.2">
      <c r="A91" s="6" t="s">
        <v>90</v>
      </c>
      <c r="B91" s="6" t="s">
        <v>105</v>
      </c>
      <c r="C91" s="6" t="s">
        <v>106</v>
      </c>
      <c r="D91" s="6" t="s">
        <v>107</v>
      </c>
      <c r="E91" s="6" t="s">
        <v>108</v>
      </c>
    </row>
    <row r="92" spans="1:5" outlineLevel="1" x14ac:dyDescent="0.2">
      <c r="A92" t="s">
        <v>109</v>
      </c>
      <c r="B92">
        <f>SUM('Timer Web'!BM32:BP32)</f>
        <v>101.75</v>
      </c>
      <c r="C92" s="8">
        <f>(B92*690)</f>
        <v>70207.5</v>
      </c>
      <c r="D92" s="8"/>
      <c r="E92" s="8"/>
    </row>
    <row r="93" spans="1:5" s="7" customFormat="1" outlineLevel="1" x14ac:dyDescent="0.2">
      <c r="A93" s="7" t="s">
        <v>58</v>
      </c>
      <c r="B93" s="7">
        <f>SUM(B92:B92)</f>
        <v>101.75</v>
      </c>
      <c r="C93" s="9">
        <f>SUM(C92:C92)</f>
        <v>70207.5</v>
      </c>
      <c r="D93" s="9"/>
      <c r="E93" s="9">
        <f>(C93-D93)</f>
        <v>70207.5</v>
      </c>
    </row>
    <row r="95" spans="1:5" outlineLevel="1" x14ac:dyDescent="0.2">
      <c r="A95" s="4" t="s">
        <v>123</v>
      </c>
    </row>
    <row r="96" spans="1:5" s="6" customFormat="1" outlineLevel="1" x14ac:dyDescent="0.2">
      <c r="A96" s="6" t="s">
        <v>90</v>
      </c>
      <c r="B96" s="6" t="s">
        <v>105</v>
      </c>
      <c r="C96" s="6" t="s">
        <v>106</v>
      </c>
      <c r="D96" s="6" t="s">
        <v>107</v>
      </c>
      <c r="E96" s="6" t="s">
        <v>108</v>
      </c>
    </row>
    <row r="97" spans="1:5" outlineLevel="1" x14ac:dyDescent="0.2">
      <c r="A97" t="s">
        <v>109</v>
      </c>
      <c r="B97">
        <f>SUM('Timer Web'!BQ32:BU32)</f>
        <v>116.75</v>
      </c>
      <c r="C97" s="8">
        <f>(B97*690)</f>
        <v>80557.5</v>
      </c>
      <c r="D97" s="8"/>
      <c r="E97" s="8"/>
    </row>
    <row r="98" spans="1:5" s="7" customFormat="1" outlineLevel="1" x14ac:dyDescent="0.2">
      <c r="A98" s="7" t="s">
        <v>58</v>
      </c>
      <c r="B98" s="7">
        <f>SUM(B97:B97)</f>
        <v>116.75</v>
      </c>
      <c r="C98" s="9">
        <f>SUM(C97:C97)</f>
        <v>80557.5</v>
      </c>
      <c r="D98" s="9"/>
      <c r="E98" s="9">
        <f>(C98-D98)</f>
        <v>80557.5</v>
      </c>
    </row>
    <row r="99" spans="1:5" x14ac:dyDescent="0.2">
      <c r="B99" t="s">
        <v>124</v>
      </c>
      <c r="C99" t="s">
        <v>125</v>
      </c>
    </row>
    <row r="100" spans="1:5" outlineLevel="1" x14ac:dyDescent="0.2">
      <c r="A100" s="4" t="s">
        <v>126</v>
      </c>
    </row>
    <row r="101" spans="1:5" s="6" customFormat="1" outlineLevel="1" x14ac:dyDescent="0.2">
      <c r="A101" s="6" t="s">
        <v>90</v>
      </c>
      <c r="B101" s="6" t="s">
        <v>105</v>
      </c>
      <c r="C101" s="6" t="s">
        <v>106</v>
      </c>
      <c r="D101" s="6" t="s">
        <v>107</v>
      </c>
      <c r="E101" s="6" t="s">
        <v>108</v>
      </c>
    </row>
    <row r="102" spans="1:5" outlineLevel="1" x14ac:dyDescent="0.2">
      <c r="A102" t="s">
        <v>109</v>
      </c>
      <c r="B102">
        <f>SUM('Timer Web'!BV32:BY32)</f>
        <v>254.5</v>
      </c>
      <c r="C102" s="8">
        <f>(B102*690)</f>
        <v>175605</v>
      </c>
      <c r="D102" s="8"/>
      <c r="E102" s="8"/>
    </row>
    <row r="103" spans="1:5" s="7" customFormat="1" outlineLevel="1" x14ac:dyDescent="0.2">
      <c r="A103" s="7" t="s">
        <v>58</v>
      </c>
      <c r="B103" s="7">
        <f>SUM(B102:B102)</f>
        <v>254.5</v>
      </c>
      <c r="C103" s="9">
        <f>SUM(C102:C102)</f>
        <v>175605</v>
      </c>
      <c r="D103" s="9"/>
      <c r="E103" s="9">
        <f>(C103-D103)</f>
        <v>175605</v>
      </c>
    </row>
    <row r="105" spans="1:5" outlineLevel="1" x14ac:dyDescent="0.2">
      <c r="A105" s="4" t="s">
        <v>114</v>
      </c>
    </row>
    <row r="106" spans="1:5" s="6" customFormat="1" outlineLevel="1" x14ac:dyDescent="0.2">
      <c r="A106" s="6" t="s">
        <v>90</v>
      </c>
      <c r="B106" s="6" t="s">
        <v>105</v>
      </c>
      <c r="C106" s="6" t="s">
        <v>106</v>
      </c>
      <c r="D106" s="6" t="s">
        <v>107</v>
      </c>
      <c r="E106" s="6" t="s">
        <v>108</v>
      </c>
    </row>
    <row r="107" spans="1:5" outlineLevel="1" x14ac:dyDescent="0.2">
      <c r="A107" t="s">
        <v>109</v>
      </c>
      <c r="B107">
        <f>SUM('Timer Web'!BZ32:CC32)</f>
        <v>125</v>
      </c>
      <c r="C107" s="8">
        <f>(B107*690)</f>
        <v>86250</v>
      </c>
      <c r="D107" s="8"/>
      <c r="E107" s="8"/>
    </row>
    <row r="108" spans="1:5" s="7" customFormat="1" outlineLevel="1" x14ac:dyDescent="0.2">
      <c r="A108" s="7" t="s">
        <v>58</v>
      </c>
      <c r="B108" s="7">
        <f>SUM(B107:B107)</f>
        <v>125</v>
      </c>
      <c r="C108" s="9">
        <f>SUM(C107:C107)</f>
        <v>86250</v>
      </c>
      <c r="D108" s="9"/>
      <c r="E108" s="9">
        <f>(C108-D108)</f>
        <v>86250</v>
      </c>
    </row>
    <row r="110" spans="1:5" outlineLevel="1" x14ac:dyDescent="0.2">
      <c r="A110" s="4" t="s">
        <v>115</v>
      </c>
    </row>
    <row r="111" spans="1:5" s="6" customFormat="1" outlineLevel="1" x14ac:dyDescent="0.2">
      <c r="A111" s="6" t="s">
        <v>90</v>
      </c>
      <c r="B111" s="6" t="s">
        <v>105</v>
      </c>
      <c r="C111" s="6" t="s">
        <v>106</v>
      </c>
      <c r="D111" s="6" t="s">
        <v>107</v>
      </c>
      <c r="E111" s="6" t="s">
        <v>108</v>
      </c>
    </row>
    <row r="112" spans="1:5" outlineLevel="1" x14ac:dyDescent="0.2">
      <c r="A112" t="s">
        <v>109</v>
      </c>
      <c r="B112">
        <f>SUM('Timer Web'!CD32:CH32)</f>
        <v>47</v>
      </c>
      <c r="C112" s="8">
        <f>(B112*690)</f>
        <v>32430</v>
      </c>
      <c r="D112" s="8"/>
      <c r="E112" s="8"/>
    </row>
    <row r="113" spans="1:5" s="7" customFormat="1" outlineLevel="1" x14ac:dyDescent="0.2">
      <c r="A113" s="7" t="s">
        <v>58</v>
      </c>
      <c r="B113" s="7">
        <f>SUM(B112:B112)</f>
        <v>47</v>
      </c>
      <c r="C113" s="9">
        <f>SUM(C112:C112)</f>
        <v>32430</v>
      </c>
      <c r="D113" s="9"/>
      <c r="E113" s="9">
        <f>(C113-D113)</f>
        <v>32430</v>
      </c>
    </row>
    <row r="115" spans="1:5" outlineLevel="1" x14ac:dyDescent="0.2">
      <c r="A115" s="4" t="s">
        <v>116</v>
      </c>
    </row>
    <row r="116" spans="1:5" s="6" customFormat="1" outlineLevel="1" x14ac:dyDescent="0.2">
      <c r="A116" s="6" t="s">
        <v>90</v>
      </c>
      <c r="B116" s="6" t="s">
        <v>105</v>
      </c>
      <c r="C116" s="6" t="s">
        <v>106</v>
      </c>
      <c r="D116" s="6" t="s">
        <v>107</v>
      </c>
      <c r="E116" s="6" t="s">
        <v>108</v>
      </c>
    </row>
    <row r="117" spans="1:5" outlineLevel="1" x14ac:dyDescent="0.2">
      <c r="A117" t="s">
        <v>109</v>
      </c>
      <c r="B117">
        <f>SUM('Timer Web'!CI32:CL32)</f>
        <v>51.75</v>
      </c>
      <c r="C117" s="8">
        <f>(B117*690)</f>
        <v>35707.5</v>
      </c>
      <c r="D117" s="8"/>
      <c r="E117" s="8"/>
    </row>
    <row r="118" spans="1:5" s="7" customFormat="1" outlineLevel="1" x14ac:dyDescent="0.2">
      <c r="A118" s="7" t="s">
        <v>58</v>
      </c>
      <c r="B118" s="7">
        <f>SUM(B117:B117)</f>
        <v>51.75</v>
      </c>
      <c r="C118" s="9">
        <f>SUM(C117:C117)</f>
        <v>35707.5</v>
      </c>
      <c r="D118" s="9"/>
      <c r="E118" s="9">
        <f>(C118-D118)</f>
        <v>35707.5</v>
      </c>
    </row>
    <row r="120" spans="1:5" outlineLevel="1" x14ac:dyDescent="0.2">
      <c r="A120" s="4" t="s">
        <v>127</v>
      </c>
    </row>
    <row r="121" spans="1:5" s="6" customFormat="1" outlineLevel="1" x14ac:dyDescent="0.2">
      <c r="A121" s="6" t="s">
        <v>90</v>
      </c>
      <c r="B121" s="6" t="s">
        <v>105</v>
      </c>
      <c r="C121" s="6" t="s">
        <v>106</v>
      </c>
      <c r="D121" s="6" t="s">
        <v>107</v>
      </c>
      <c r="E121" s="6" t="s">
        <v>108</v>
      </c>
    </row>
    <row r="122" spans="1:5" outlineLevel="1" x14ac:dyDescent="0.2">
      <c r="A122" t="s">
        <v>109</v>
      </c>
      <c r="B122">
        <f>SUM('Timer Web'!CM32:CP32)</f>
        <v>0</v>
      </c>
      <c r="C122" s="8">
        <f>(B122*690)</f>
        <v>0</v>
      </c>
      <c r="D122" s="8"/>
      <c r="E122" s="8"/>
    </row>
    <row r="123" spans="1:5" s="7" customFormat="1" outlineLevel="1" x14ac:dyDescent="0.2">
      <c r="A123" s="7" t="s">
        <v>58</v>
      </c>
      <c r="B123" s="7">
        <f>SUM(B122:B122)</f>
        <v>0</v>
      </c>
      <c r="C123" s="9">
        <f>SUM(C122:C122)</f>
        <v>0</v>
      </c>
      <c r="D123" s="9"/>
      <c r="E123" s="9">
        <f>(C123-D123)</f>
        <v>0</v>
      </c>
    </row>
    <row r="125" spans="1:5" x14ac:dyDescent="0.2">
      <c r="A125" t="s">
        <v>128</v>
      </c>
      <c r="B125" s="45">
        <f>B77+B71+B65+B59+B47+B53+B41+B33+B26+B8+B17</f>
        <v>1201.5</v>
      </c>
      <c r="C125" s="8">
        <f>B125*670</f>
        <v>805005</v>
      </c>
    </row>
    <row r="126" spans="1:5" x14ac:dyDescent="0.2">
      <c r="A126" t="s">
        <v>129</v>
      </c>
      <c r="B126" s="45">
        <f>B83+B88+B93+B98+B103+B108+B113+B118+B123</f>
        <v>1038.25</v>
      </c>
      <c r="C126" s="8">
        <f>B126*690</f>
        <v>716392.5</v>
      </c>
    </row>
    <row r="127" spans="1:5" x14ac:dyDescent="0.2">
      <c r="A127" t="s">
        <v>138</v>
      </c>
      <c r="B127" s="45">
        <v>35</v>
      </c>
      <c r="C127" s="8">
        <f>B127*690</f>
        <v>24150</v>
      </c>
    </row>
    <row r="128" spans="1:5" x14ac:dyDescent="0.2">
      <c r="A128" t="s">
        <v>130</v>
      </c>
      <c r="B128" s="45">
        <f>SUM(B125:B127)</f>
        <v>2274.75</v>
      </c>
      <c r="C128" s="8">
        <f>SUM(C125:C127)</f>
        <v>1545547.5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61687-53EF-47F8-8924-D3B6EF2D474D}">
  <dimension ref="A1:BA21"/>
  <sheetViews>
    <sheetView topLeftCell="AF2" workbookViewId="0">
      <selection activeCell="AX5" sqref="AX5"/>
    </sheetView>
  </sheetViews>
  <sheetFormatPr baseColWidth="10" defaultColWidth="11.5" defaultRowHeight="15" outlineLevelCol="1" x14ac:dyDescent="0.2"/>
  <cols>
    <col min="1" max="1" width="40" customWidth="1"/>
    <col min="2" max="3" width="8.5" customWidth="1"/>
    <col min="4" max="13" width="8.5" style="30" customWidth="1"/>
    <col min="14" max="52" width="8.5" style="30" customWidth="1" outlineLevel="1"/>
    <col min="53" max="53" width="23.1640625" customWidth="1"/>
  </cols>
  <sheetData>
    <row r="1" spans="1:53" s="10" customFormat="1" ht="14.5" customHeight="1" x14ac:dyDescent="0.2">
      <c r="A1" s="46" t="s">
        <v>0</v>
      </c>
      <c r="B1" s="46"/>
      <c r="C1" s="46"/>
    </row>
    <row r="2" spans="1:53" s="10" customFormat="1" ht="14.5" customHeight="1" x14ac:dyDescent="0.2">
      <c r="A2" s="46"/>
      <c r="B2" s="46"/>
      <c r="C2" s="46"/>
    </row>
    <row r="3" spans="1:53" s="5" customFormat="1" ht="48" x14ac:dyDescent="0.2">
      <c r="A3" s="1" t="s">
        <v>131</v>
      </c>
      <c r="B3" s="37" t="s">
        <v>132</v>
      </c>
      <c r="C3" s="2" t="s">
        <v>3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27</v>
      </c>
      <c r="Y3" s="3" t="s">
        <v>28</v>
      </c>
      <c r="Z3" s="3" t="s">
        <v>29</v>
      </c>
      <c r="AA3" s="3" t="s">
        <v>30</v>
      </c>
      <c r="AB3" s="3" t="s">
        <v>31</v>
      </c>
      <c r="AC3" s="3" t="s">
        <v>32</v>
      </c>
      <c r="AD3" s="3" t="s">
        <v>33</v>
      </c>
      <c r="AE3" s="3" t="s">
        <v>34</v>
      </c>
      <c r="AF3" s="3" t="s">
        <v>35</v>
      </c>
      <c r="AG3" s="3" t="s">
        <v>36</v>
      </c>
      <c r="AH3" s="3" t="s">
        <v>37</v>
      </c>
      <c r="AI3" s="3" t="s">
        <v>38</v>
      </c>
      <c r="AJ3" s="3" t="s">
        <v>39</v>
      </c>
      <c r="AK3" s="3" t="s">
        <v>40</v>
      </c>
      <c r="AL3" s="3" t="s">
        <v>41</v>
      </c>
      <c r="AM3" s="3" t="s">
        <v>42</v>
      </c>
      <c r="AN3" s="3" t="s">
        <v>43</v>
      </c>
      <c r="AO3" s="3" t="s">
        <v>44</v>
      </c>
      <c r="AP3" s="3" t="s">
        <v>45</v>
      </c>
      <c r="AQ3" s="3" t="s">
        <v>46</v>
      </c>
      <c r="AR3" s="3" t="s">
        <v>47</v>
      </c>
      <c r="AS3" s="3" t="s">
        <v>48</v>
      </c>
      <c r="AT3" s="3" t="s">
        <v>49</v>
      </c>
      <c r="AU3" s="3" t="s">
        <v>50</v>
      </c>
      <c r="AV3" s="3" t="s">
        <v>51</v>
      </c>
      <c r="AW3" s="3" t="s">
        <v>52</v>
      </c>
      <c r="AX3" s="3" t="s">
        <v>133</v>
      </c>
      <c r="AY3" s="3" t="s">
        <v>134</v>
      </c>
      <c r="AZ3" s="3" t="s">
        <v>53</v>
      </c>
      <c r="BA3" s="3" t="s">
        <v>60</v>
      </c>
    </row>
    <row r="4" spans="1:53" s="18" customFormat="1" ht="16" x14ac:dyDescent="0.2">
      <c r="A4" s="22" t="s">
        <v>55</v>
      </c>
      <c r="B4" s="38">
        <f>AVERAGE(D4:AZ4)/37.5</f>
        <v>0.14000000000000001</v>
      </c>
      <c r="C4" s="19">
        <f>SUM(D4:AZ4)</f>
        <v>10.5</v>
      </c>
      <c r="F4" s="18">
        <v>2.5</v>
      </c>
      <c r="G4" s="18">
        <v>8</v>
      </c>
    </row>
    <row r="5" spans="1:53" s="18" customFormat="1" ht="16" x14ac:dyDescent="0.2">
      <c r="A5" s="22" t="s">
        <v>135</v>
      </c>
      <c r="B5" s="38">
        <f>AVERAGE(D5:AZ5)/37.5</f>
        <v>7.8666666666666676E-2</v>
      </c>
      <c r="C5" s="19">
        <f t="shared" ref="C5:C7" si="0">SUM(D5:AZ5)</f>
        <v>14.75</v>
      </c>
      <c r="H5" s="18">
        <v>4.25</v>
      </c>
      <c r="J5" s="18">
        <v>2</v>
      </c>
      <c r="L5" s="18">
        <v>3.5</v>
      </c>
      <c r="M5" s="18">
        <v>0.5</v>
      </c>
      <c r="O5" s="18">
        <v>4.5</v>
      </c>
    </row>
    <row r="6" spans="1:53" s="18" customFormat="1" ht="16" x14ac:dyDescent="0.2">
      <c r="A6" s="22" t="s">
        <v>136</v>
      </c>
      <c r="B6" s="38">
        <f>AVERAGE(D6:AZ6)/37.5</f>
        <v>7.0833333333333331E-2</v>
      </c>
      <c r="C6" s="19">
        <f t="shared" si="0"/>
        <v>21.25</v>
      </c>
      <c r="Q6" s="18">
        <v>5.5</v>
      </c>
      <c r="S6" s="18">
        <v>1</v>
      </c>
      <c r="T6" s="18">
        <v>2</v>
      </c>
      <c r="Y6" s="18">
        <v>0.25</v>
      </c>
      <c r="Z6" s="18">
        <v>4</v>
      </c>
      <c r="AF6" s="18">
        <v>3</v>
      </c>
      <c r="AJ6" s="18">
        <v>0.5</v>
      </c>
      <c r="AM6" s="18">
        <v>5</v>
      </c>
    </row>
    <row r="7" spans="1:53" s="27" customFormat="1" ht="16" x14ac:dyDescent="0.2">
      <c r="A7" s="22" t="s">
        <v>89</v>
      </c>
      <c r="B7" s="38">
        <f>AVERAGE(D7:AZ7)/37.5</f>
        <v>5.8666666666666673E-2</v>
      </c>
      <c r="C7" s="19">
        <f t="shared" si="0"/>
        <v>11</v>
      </c>
      <c r="D7" s="28">
        <v>0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>
        <v>1</v>
      </c>
      <c r="AW7" s="28">
        <v>4</v>
      </c>
      <c r="AX7" s="28">
        <v>4</v>
      </c>
      <c r="AY7" s="28">
        <v>2</v>
      </c>
      <c r="AZ7" s="28"/>
    </row>
    <row r="8" spans="1:53" s="26" customFormat="1" ht="16" thickBot="1" x14ac:dyDescent="0.25">
      <c r="A8" s="26" t="s">
        <v>58</v>
      </c>
      <c r="B8" s="39">
        <f>AVERAGE(D8:AZ8)</f>
        <v>3.0833333333333338E-2</v>
      </c>
      <c r="C8" s="31">
        <f>SUM(C4:C7)</f>
        <v>57.5</v>
      </c>
      <c r="D8" s="35">
        <f>SUM(D4:D7)/37.5</f>
        <v>0</v>
      </c>
      <c r="E8" s="35">
        <f>SUM(E4:E7)/37.5</f>
        <v>0</v>
      </c>
      <c r="F8" s="35">
        <f>SUM(F4:F7)/37.5</f>
        <v>6.6666666666666666E-2</v>
      </c>
      <c r="G8" s="35">
        <f t="shared" ref="G8:AZ8" si="1">SUM(G4:G7)/37.5</f>
        <v>0.21333333333333335</v>
      </c>
      <c r="H8" s="35">
        <f t="shared" si="1"/>
        <v>0.11333333333333333</v>
      </c>
      <c r="I8" s="35">
        <f t="shared" si="1"/>
        <v>0</v>
      </c>
      <c r="J8" s="35">
        <f t="shared" si="1"/>
        <v>5.3333333333333337E-2</v>
      </c>
      <c r="K8" s="35">
        <f t="shared" si="1"/>
        <v>0</v>
      </c>
      <c r="L8" s="35">
        <f t="shared" si="1"/>
        <v>9.3333333333333338E-2</v>
      </c>
      <c r="M8" s="35">
        <f t="shared" si="1"/>
        <v>1.3333333333333334E-2</v>
      </c>
      <c r="N8" s="35">
        <f t="shared" si="1"/>
        <v>0</v>
      </c>
      <c r="O8" s="35">
        <f t="shared" si="1"/>
        <v>0.12</v>
      </c>
      <c r="P8" s="35">
        <f t="shared" si="1"/>
        <v>0</v>
      </c>
      <c r="Q8" s="35">
        <f t="shared" si="1"/>
        <v>0.14666666666666667</v>
      </c>
      <c r="R8" s="35">
        <f t="shared" si="1"/>
        <v>0</v>
      </c>
      <c r="S8" s="35">
        <f t="shared" si="1"/>
        <v>2.6666666666666668E-2</v>
      </c>
      <c r="T8" s="35">
        <f t="shared" si="1"/>
        <v>5.3333333333333337E-2</v>
      </c>
      <c r="U8" s="35">
        <f t="shared" si="1"/>
        <v>0</v>
      </c>
      <c r="V8" s="35">
        <f t="shared" si="1"/>
        <v>0</v>
      </c>
      <c r="W8" s="35">
        <f t="shared" si="1"/>
        <v>0</v>
      </c>
      <c r="X8" s="35">
        <f t="shared" si="1"/>
        <v>0</v>
      </c>
      <c r="Y8" s="35">
        <f t="shared" si="1"/>
        <v>6.6666666666666671E-3</v>
      </c>
      <c r="Z8" s="35">
        <f t="shared" si="1"/>
        <v>0.10666666666666667</v>
      </c>
      <c r="AA8" s="35">
        <f t="shared" si="1"/>
        <v>0</v>
      </c>
      <c r="AB8" s="35">
        <f t="shared" si="1"/>
        <v>0</v>
      </c>
      <c r="AC8" s="35">
        <f t="shared" si="1"/>
        <v>0</v>
      </c>
      <c r="AD8" s="35">
        <f t="shared" si="1"/>
        <v>0</v>
      </c>
      <c r="AE8" s="35">
        <f t="shared" si="1"/>
        <v>0</v>
      </c>
      <c r="AF8" s="35">
        <f t="shared" si="1"/>
        <v>0.08</v>
      </c>
      <c r="AG8" s="35">
        <f t="shared" si="1"/>
        <v>0</v>
      </c>
      <c r="AH8" s="35">
        <f t="shared" si="1"/>
        <v>0</v>
      </c>
      <c r="AI8" s="35">
        <f t="shared" si="1"/>
        <v>0</v>
      </c>
      <c r="AJ8" s="35">
        <f t="shared" si="1"/>
        <v>1.3333333333333334E-2</v>
      </c>
      <c r="AK8" s="35">
        <f t="shared" si="1"/>
        <v>0</v>
      </c>
      <c r="AL8" s="35">
        <f t="shared" si="1"/>
        <v>0</v>
      </c>
      <c r="AM8" s="35">
        <f t="shared" si="1"/>
        <v>0.13333333333333333</v>
      </c>
      <c r="AN8" s="35">
        <f t="shared" si="1"/>
        <v>0</v>
      </c>
      <c r="AO8" s="35">
        <f t="shared" si="1"/>
        <v>0</v>
      </c>
      <c r="AP8" s="35">
        <f t="shared" si="1"/>
        <v>0</v>
      </c>
      <c r="AQ8" s="35">
        <f t="shared" si="1"/>
        <v>0</v>
      </c>
      <c r="AR8" s="35">
        <f t="shared" si="1"/>
        <v>0</v>
      </c>
      <c r="AS8" s="35">
        <f t="shared" si="1"/>
        <v>0</v>
      </c>
      <c r="AT8" s="35">
        <f t="shared" si="1"/>
        <v>0</v>
      </c>
      <c r="AU8" s="35">
        <f t="shared" si="1"/>
        <v>0</v>
      </c>
      <c r="AV8" s="35">
        <f t="shared" si="1"/>
        <v>2.6666666666666668E-2</v>
      </c>
      <c r="AW8" s="35">
        <f t="shared" si="1"/>
        <v>0.10666666666666667</v>
      </c>
      <c r="AX8" s="35">
        <f t="shared" si="1"/>
        <v>0.10666666666666667</v>
      </c>
      <c r="AY8" s="35"/>
      <c r="AZ8" s="35">
        <f t="shared" si="1"/>
        <v>0</v>
      </c>
    </row>
    <row r="9" spans="1:53" ht="16" thickTop="1" x14ac:dyDescent="0.2"/>
    <row r="10" spans="1:53" s="5" customFormat="1" ht="48" x14ac:dyDescent="0.2">
      <c r="A10" s="1" t="s">
        <v>137</v>
      </c>
      <c r="B10" s="2" t="s">
        <v>132</v>
      </c>
      <c r="C10" s="2" t="s">
        <v>3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  <c r="L10" s="3" t="s">
        <v>15</v>
      </c>
      <c r="M10" s="3" t="s">
        <v>16</v>
      </c>
      <c r="N10" s="3" t="s">
        <v>17</v>
      </c>
      <c r="O10" s="3" t="s">
        <v>18</v>
      </c>
      <c r="P10" s="3" t="s">
        <v>19</v>
      </c>
      <c r="Q10" s="3" t="s">
        <v>20</v>
      </c>
      <c r="R10" s="3" t="s">
        <v>21</v>
      </c>
      <c r="S10" s="3" t="s">
        <v>22</v>
      </c>
      <c r="T10" s="3" t="s">
        <v>23</v>
      </c>
      <c r="U10" s="3" t="s">
        <v>24</v>
      </c>
      <c r="V10" s="3" t="s">
        <v>25</v>
      </c>
      <c r="W10" s="3" t="s">
        <v>26</v>
      </c>
      <c r="X10" s="3" t="s">
        <v>27</v>
      </c>
      <c r="Y10" s="3" t="s">
        <v>28</v>
      </c>
      <c r="Z10" s="3" t="s">
        <v>29</v>
      </c>
      <c r="AA10" s="3" t="s">
        <v>30</v>
      </c>
      <c r="AB10" s="3" t="s">
        <v>31</v>
      </c>
      <c r="AC10" s="3" t="s">
        <v>32</v>
      </c>
      <c r="AD10" s="3" t="s">
        <v>33</v>
      </c>
      <c r="AE10" s="3" t="s">
        <v>34</v>
      </c>
      <c r="AF10" s="3" t="s">
        <v>35</v>
      </c>
      <c r="AG10" s="3" t="s">
        <v>36</v>
      </c>
      <c r="AH10" s="3" t="s">
        <v>37</v>
      </c>
      <c r="AI10" s="3" t="s">
        <v>38</v>
      </c>
      <c r="AJ10" s="3" t="s">
        <v>39</v>
      </c>
      <c r="AK10" s="3" t="s">
        <v>40</v>
      </c>
      <c r="AL10" s="3" t="s">
        <v>41</v>
      </c>
      <c r="AM10" s="3" t="s">
        <v>42</v>
      </c>
      <c r="AN10" s="3" t="s">
        <v>43</v>
      </c>
      <c r="AO10" s="3" t="s">
        <v>44</v>
      </c>
      <c r="AP10" s="3" t="s">
        <v>45</v>
      </c>
      <c r="AQ10" s="3" t="s">
        <v>46</v>
      </c>
      <c r="AR10" s="3" t="s">
        <v>47</v>
      </c>
      <c r="AS10" s="3" t="s">
        <v>48</v>
      </c>
      <c r="AT10" s="3" t="s">
        <v>49</v>
      </c>
      <c r="AU10" s="3" t="s">
        <v>50</v>
      </c>
      <c r="AV10" s="3" t="s">
        <v>51</v>
      </c>
      <c r="AW10" s="3" t="s">
        <v>52</v>
      </c>
      <c r="AX10" s="3"/>
      <c r="AY10" s="3"/>
      <c r="AZ10" s="3" t="s">
        <v>53</v>
      </c>
      <c r="BA10" s="3" t="s">
        <v>60</v>
      </c>
    </row>
    <row r="11" spans="1:53" s="18" customFormat="1" ht="16" x14ac:dyDescent="0.2">
      <c r="A11" s="22" t="s">
        <v>55</v>
      </c>
      <c r="B11" s="19"/>
      <c r="C11" s="19">
        <f>SUM(D11:AZ11)</f>
        <v>0</v>
      </c>
    </row>
    <row r="12" spans="1:53" s="18" customFormat="1" ht="16" x14ac:dyDescent="0.2">
      <c r="A12" s="22" t="s">
        <v>135</v>
      </c>
      <c r="B12" s="19"/>
      <c r="C12" s="19">
        <f t="shared" ref="C12:C14" si="2">SUM(D12:AZ12)</f>
        <v>0</v>
      </c>
    </row>
    <row r="13" spans="1:53" s="18" customFormat="1" ht="16" x14ac:dyDescent="0.2">
      <c r="A13" s="22" t="s">
        <v>136</v>
      </c>
      <c r="B13" s="19"/>
      <c r="C13" s="19">
        <f t="shared" si="2"/>
        <v>0</v>
      </c>
    </row>
    <row r="14" spans="1:53" s="18" customFormat="1" ht="16" x14ac:dyDescent="0.2">
      <c r="A14" s="22" t="s">
        <v>89</v>
      </c>
      <c r="B14" s="19"/>
      <c r="C14" s="19">
        <f t="shared" si="2"/>
        <v>0</v>
      </c>
    </row>
    <row r="15" spans="1:53" s="26" customFormat="1" ht="16" thickBot="1" x14ac:dyDescent="0.25">
      <c r="A15" s="26" t="s">
        <v>58</v>
      </c>
      <c r="B15" s="36">
        <f>AVERAGE(D15:AZ15)</f>
        <v>0</v>
      </c>
      <c r="C15" s="31">
        <f t="shared" ref="C15" si="3">SUM(C11:C14)</f>
        <v>0</v>
      </c>
      <c r="D15" s="35">
        <f>SUM(D11:D14)/37.5</f>
        <v>0</v>
      </c>
      <c r="E15" s="35">
        <f t="shared" ref="E15:AZ15" si="4">SUM(E11:E14)/37.5</f>
        <v>0</v>
      </c>
      <c r="F15" s="35">
        <f t="shared" si="4"/>
        <v>0</v>
      </c>
      <c r="G15" s="35">
        <f t="shared" si="4"/>
        <v>0</v>
      </c>
      <c r="H15" s="35">
        <f t="shared" si="4"/>
        <v>0</v>
      </c>
      <c r="I15" s="35">
        <f t="shared" si="4"/>
        <v>0</v>
      </c>
      <c r="J15" s="35">
        <f t="shared" si="4"/>
        <v>0</v>
      </c>
      <c r="K15" s="35">
        <f t="shared" si="4"/>
        <v>0</v>
      </c>
      <c r="L15" s="35">
        <f t="shared" si="4"/>
        <v>0</v>
      </c>
      <c r="M15" s="35">
        <f t="shared" si="4"/>
        <v>0</v>
      </c>
      <c r="N15" s="35">
        <f t="shared" si="4"/>
        <v>0</v>
      </c>
      <c r="O15" s="35">
        <f t="shared" si="4"/>
        <v>0</v>
      </c>
      <c r="P15" s="35">
        <f t="shared" si="4"/>
        <v>0</v>
      </c>
      <c r="Q15" s="35">
        <f t="shared" si="4"/>
        <v>0</v>
      </c>
      <c r="R15" s="35">
        <f t="shared" si="4"/>
        <v>0</v>
      </c>
      <c r="S15" s="35">
        <f t="shared" si="4"/>
        <v>0</v>
      </c>
      <c r="T15" s="35">
        <f t="shared" si="4"/>
        <v>0</v>
      </c>
      <c r="U15" s="35">
        <f t="shared" si="4"/>
        <v>0</v>
      </c>
      <c r="V15" s="35">
        <f t="shared" si="4"/>
        <v>0</v>
      </c>
      <c r="W15" s="35">
        <f t="shared" si="4"/>
        <v>0</v>
      </c>
      <c r="X15" s="35">
        <f t="shared" si="4"/>
        <v>0</v>
      </c>
      <c r="Y15" s="35">
        <f t="shared" si="4"/>
        <v>0</v>
      </c>
      <c r="Z15" s="35">
        <f t="shared" si="4"/>
        <v>0</v>
      </c>
      <c r="AA15" s="35">
        <f t="shared" si="4"/>
        <v>0</v>
      </c>
      <c r="AB15" s="35">
        <f t="shared" si="4"/>
        <v>0</v>
      </c>
      <c r="AC15" s="35">
        <f t="shared" si="4"/>
        <v>0</v>
      </c>
      <c r="AD15" s="35">
        <f t="shared" si="4"/>
        <v>0</v>
      </c>
      <c r="AE15" s="35">
        <f t="shared" si="4"/>
        <v>0</v>
      </c>
      <c r="AF15" s="35">
        <f t="shared" si="4"/>
        <v>0</v>
      </c>
      <c r="AG15" s="35">
        <f t="shared" si="4"/>
        <v>0</v>
      </c>
      <c r="AH15" s="35">
        <f t="shared" si="4"/>
        <v>0</v>
      </c>
      <c r="AI15" s="35">
        <f t="shared" si="4"/>
        <v>0</v>
      </c>
      <c r="AJ15" s="35">
        <f t="shared" si="4"/>
        <v>0</v>
      </c>
      <c r="AK15" s="35">
        <f t="shared" si="4"/>
        <v>0</v>
      </c>
      <c r="AL15" s="35">
        <f t="shared" si="4"/>
        <v>0</v>
      </c>
      <c r="AM15" s="35">
        <f t="shared" si="4"/>
        <v>0</v>
      </c>
      <c r="AN15" s="35">
        <f t="shared" si="4"/>
        <v>0</v>
      </c>
      <c r="AO15" s="35">
        <f t="shared" si="4"/>
        <v>0</v>
      </c>
      <c r="AP15" s="35">
        <f t="shared" si="4"/>
        <v>0</v>
      </c>
      <c r="AQ15" s="35">
        <f t="shared" si="4"/>
        <v>0</v>
      </c>
      <c r="AR15" s="35">
        <f t="shared" si="4"/>
        <v>0</v>
      </c>
      <c r="AS15" s="35">
        <f t="shared" si="4"/>
        <v>0</v>
      </c>
      <c r="AT15" s="35">
        <f t="shared" si="4"/>
        <v>0</v>
      </c>
      <c r="AU15" s="35">
        <f t="shared" si="4"/>
        <v>0</v>
      </c>
      <c r="AV15" s="35">
        <f t="shared" si="4"/>
        <v>0</v>
      </c>
      <c r="AW15" s="35">
        <f t="shared" si="4"/>
        <v>0</v>
      </c>
      <c r="AX15" s="35"/>
      <c r="AY15" s="35"/>
      <c r="AZ15" s="35">
        <f t="shared" si="4"/>
        <v>0</v>
      </c>
    </row>
    <row r="16" spans="1:53" ht="16" thickTop="1" x14ac:dyDescent="0.2"/>
    <row r="18" spans="1:1" x14ac:dyDescent="0.2">
      <c r="A18" s="22"/>
    </row>
    <row r="19" spans="1:1" x14ac:dyDescent="0.2">
      <c r="A19" s="22"/>
    </row>
    <row r="20" spans="1:1" x14ac:dyDescent="0.2">
      <c r="A20" s="22"/>
    </row>
    <row r="21" spans="1:1" x14ac:dyDescent="0.2">
      <c r="A21" s="22"/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Timer Web</vt:lpstr>
      <vt:lpstr>Prognose</vt:lpstr>
      <vt:lpstr>Timer totalt</vt:lpstr>
      <vt:lpstr>Regnskap</vt:lpstr>
      <vt:lpstr>Timer Juss og AF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Nilsen</dc:creator>
  <cp:keywords/>
  <dc:description/>
  <cp:lastModifiedBy>Ingvild Sollund</cp:lastModifiedBy>
  <cp:revision/>
  <dcterms:created xsi:type="dcterms:W3CDTF">2018-09-20T15:42:13Z</dcterms:created>
  <dcterms:modified xsi:type="dcterms:W3CDTF">2020-08-21T10:41:55Z</dcterms:modified>
  <cp:category/>
  <cp:contentStatus/>
</cp:coreProperties>
</file>