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nt\jus-felles\eksamensavd\Statistikk-samlet\2020_og_2021\"/>
    </mc:Choice>
  </mc:AlternateContent>
  <bookViews>
    <workbookView xWindow="0" yWindow="0" windowWidth="28800" windowHeight="13410"/>
  </bookViews>
  <sheets>
    <sheet name="MiR" sheetId="1" r:id="rId1"/>
    <sheet name="IKRS" sheetId="2" r:id="rId2"/>
    <sheet name="HUMR" sheetId="3" r:id="rId3"/>
    <sheet name="SERI" sheetId="4"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2" i="2" l="1"/>
  <c r="E10" i="4" l="1"/>
  <c r="D10" i="4"/>
  <c r="E12" i="3"/>
  <c r="D12" i="3"/>
  <c r="E93" i="1" l="1"/>
  <c r="N87" i="1"/>
  <c r="I87" i="1"/>
  <c r="D87" i="1"/>
  <c r="O83" i="1" l="1"/>
  <c r="O82" i="1"/>
  <c r="J83" i="1"/>
  <c r="J82" i="1"/>
  <c r="E83" i="1"/>
  <c r="E82" i="1"/>
  <c r="O46" i="1"/>
  <c r="O45" i="1"/>
  <c r="J46" i="1"/>
  <c r="J45" i="1"/>
  <c r="E46" i="1"/>
  <c r="E45" i="1"/>
  <c r="O42" i="1"/>
  <c r="N42" i="1"/>
  <c r="M42" i="1"/>
  <c r="J42" i="1"/>
  <c r="I42" i="1"/>
  <c r="H42" i="1"/>
  <c r="D42" i="1"/>
  <c r="C42" i="1"/>
  <c r="O72" i="1"/>
  <c r="E80" i="1"/>
  <c r="D80" i="1"/>
  <c r="C80" i="1"/>
  <c r="E79" i="1"/>
  <c r="E68" i="1"/>
  <c r="E65" i="1"/>
  <c r="E64" i="1"/>
  <c r="E63" i="1"/>
  <c r="E57" i="1"/>
  <c r="E56" i="1"/>
  <c r="O59" i="1"/>
  <c r="E17" i="1"/>
  <c r="E16" i="1"/>
  <c r="E14" i="1"/>
  <c r="E13" i="1"/>
  <c r="E38" i="1"/>
  <c r="E32" i="1"/>
  <c r="E31" i="1"/>
  <c r="E30" i="1"/>
  <c r="E25" i="1"/>
  <c r="D25" i="1"/>
  <c r="C25" i="1"/>
  <c r="E24" i="1"/>
  <c r="E23" i="1"/>
  <c r="E22" i="1"/>
  <c r="E21" i="1"/>
  <c r="E20" i="1"/>
  <c r="E18" i="1"/>
  <c r="E15" i="1"/>
  <c r="E12" i="1"/>
  <c r="E10" i="1"/>
  <c r="E9" i="1"/>
  <c r="E8" i="1"/>
  <c r="E6" i="1"/>
  <c r="E5" i="1"/>
  <c r="L30" i="2" l="1"/>
  <c r="L29" i="2"/>
  <c r="L28" i="2"/>
  <c r="L25" i="2"/>
  <c r="L24" i="2"/>
  <c r="L17" i="2"/>
  <c r="L16" i="2"/>
  <c r="L15" i="2"/>
  <c r="L10" i="2"/>
  <c r="L9" i="2"/>
  <c r="L8" i="2"/>
  <c r="L6" i="2"/>
  <c r="L5" i="2"/>
  <c r="I31" i="2"/>
  <c r="I29" i="2"/>
  <c r="I25" i="2"/>
  <c r="I23" i="2"/>
  <c r="I20" i="2"/>
  <c r="I17" i="2"/>
  <c r="I16" i="2"/>
  <c r="I14" i="2"/>
  <c r="I12" i="2"/>
  <c r="I10" i="2"/>
  <c r="I9" i="2"/>
  <c r="I8" i="2"/>
  <c r="I7" i="2"/>
  <c r="I6" i="2"/>
  <c r="L12" i="3"/>
  <c r="L11" i="3"/>
  <c r="L10" i="3"/>
  <c r="L8" i="3"/>
  <c r="L7" i="3"/>
  <c r="L6" i="3"/>
  <c r="L5" i="3"/>
  <c r="I12" i="3"/>
  <c r="I11" i="3"/>
  <c r="I8" i="3"/>
  <c r="I6" i="3"/>
  <c r="I5" i="3"/>
  <c r="L10" i="4"/>
  <c r="L9" i="4"/>
  <c r="L7" i="4"/>
  <c r="L5" i="4"/>
  <c r="I10" i="4"/>
  <c r="I9" i="4"/>
  <c r="I7" i="4"/>
  <c r="I5" i="4"/>
  <c r="O80" i="1"/>
  <c r="O77" i="1"/>
  <c r="O76" i="1"/>
  <c r="O75" i="1"/>
  <c r="O74" i="1"/>
  <c r="O71" i="1"/>
  <c r="O70" i="1"/>
  <c r="O69" i="1"/>
  <c r="O68" i="1"/>
  <c r="O67" i="1"/>
  <c r="O66" i="1"/>
  <c r="O65" i="1"/>
  <c r="O64" i="1"/>
  <c r="O63" i="1"/>
  <c r="O62" i="1"/>
  <c r="O61" i="1"/>
  <c r="O58" i="1"/>
  <c r="O57" i="1"/>
  <c r="O56" i="1"/>
  <c r="O55" i="1"/>
  <c r="O54" i="1"/>
  <c r="O53" i="1"/>
  <c r="O52" i="1"/>
  <c r="J80" i="1"/>
  <c r="I80" i="1"/>
  <c r="H80" i="1"/>
  <c r="J79" i="1"/>
  <c r="J78" i="1"/>
  <c r="J77" i="1"/>
  <c r="J76" i="1"/>
  <c r="J75" i="1"/>
  <c r="J74" i="1"/>
  <c r="J73" i="1"/>
  <c r="J71" i="1"/>
  <c r="J70" i="1"/>
  <c r="J69" i="1"/>
  <c r="J68" i="1"/>
  <c r="J67" i="1"/>
  <c r="J66" i="1"/>
  <c r="J65" i="1"/>
  <c r="J64" i="1"/>
  <c r="J63" i="1"/>
  <c r="J62" i="1"/>
  <c r="J61" i="1"/>
  <c r="J58" i="1"/>
  <c r="J57" i="1"/>
  <c r="J56" i="1"/>
  <c r="J55" i="1"/>
  <c r="J54" i="1"/>
  <c r="J53" i="1"/>
  <c r="J52" i="1"/>
  <c r="J51" i="1"/>
  <c r="J50" i="1"/>
  <c r="O25" i="1"/>
  <c r="J25" i="1"/>
  <c r="O93" i="1"/>
  <c r="O91" i="1"/>
  <c r="O41" i="1"/>
  <c r="O40" i="1"/>
  <c r="O39" i="1"/>
  <c r="O38" i="1"/>
  <c r="O37" i="1"/>
  <c r="O36" i="1"/>
  <c r="O33" i="1"/>
  <c r="O32" i="1"/>
  <c r="O31" i="1"/>
  <c r="O30" i="1"/>
  <c r="J93" i="1"/>
  <c r="J91" i="1"/>
  <c r="J41" i="1"/>
  <c r="J40" i="1"/>
  <c r="J39" i="1"/>
  <c r="J38" i="1"/>
  <c r="J37" i="1"/>
  <c r="J36" i="1"/>
  <c r="J33" i="1"/>
  <c r="J32" i="1"/>
  <c r="J30" i="1"/>
  <c r="O24" i="1"/>
  <c r="O23" i="1"/>
  <c r="O22" i="1"/>
  <c r="O21" i="1"/>
  <c r="O20" i="1"/>
  <c r="O18" i="1"/>
  <c r="O15" i="1"/>
  <c r="O12" i="1"/>
  <c r="O10" i="1"/>
  <c r="O9" i="1"/>
  <c r="O8" i="1"/>
  <c r="O6" i="1"/>
  <c r="O5" i="1"/>
  <c r="J24" i="1"/>
  <c r="J23" i="1"/>
  <c r="J22" i="1"/>
  <c r="J21" i="1"/>
  <c r="J20" i="1"/>
  <c r="J18" i="1"/>
  <c r="J15" i="1"/>
  <c r="J12" i="1"/>
  <c r="J10" i="1"/>
  <c r="J9" i="1"/>
  <c r="J8" i="1"/>
  <c r="J6" i="1"/>
  <c r="J5" i="1"/>
</calcChain>
</file>

<file path=xl/sharedStrings.xml><?xml version="1.0" encoding="utf-8"?>
<sst xmlns="http://schemas.openxmlformats.org/spreadsheetml/2006/main" count="364" uniqueCount="241">
  <si>
    <t xml:space="preserve">Tallene er hentet fra FS582.001 (viser antall oppmeldte ved trekkfrist og antall møtte til eksamen) og Tableau Gjentaksstudenter_JFM5-emner (viser antall og andel gjentaksstudenter av antall møtte) </t>
  </si>
  <si>
    <t>Emne</t>
  </si>
  <si>
    <t>Emnenavn</t>
  </si>
  <si>
    <t>Studieårsemner</t>
  </si>
  <si>
    <t>Oppmeldte</t>
  </si>
  <si>
    <t>Møtt</t>
  </si>
  <si>
    <t>%møtt</t>
  </si>
  <si>
    <t xml:space="preserve">%gjentak </t>
  </si>
  <si>
    <t>%gjentak</t>
  </si>
  <si>
    <t>JUS1111</t>
  </si>
  <si>
    <t>Privatrett I</t>
  </si>
  <si>
    <t>JUS1211</t>
  </si>
  <si>
    <t>Privatrett II</t>
  </si>
  <si>
    <t>JUS2111</t>
  </si>
  <si>
    <t>Statsforfatningsrett</t>
  </si>
  <si>
    <t>JUS2211</t>
  </si>
  <si>
    <t xml:space="preserve">Forvaltningsrett og </t>
  </si>
  <si>
    <t>JFEXFAC04</t>
  </si>
  <si>
    <t>Ex.fac</t>
  </si>
  <si>
    <t>JUS3111</t>
  </si>
  <si>
    <t>JUS3112</t>
  </si>
  <si>
    <t>Formuerett I (ny v21)</t>
  </si>
  <si>
    <t>3111/3112</t>
  </si>
  <si>
    <t>JUS3212</t>
  </si>
  <si>
    <t>JUS3220</t>
  </si>
  <si>
    <t>Rettshistorie</t>
  </si>
  <si>
    <t>JUS4111</t>
  </si>
  <si>
    <t>Metode og etikk</t>
  </si>
  <si>
    <t>JUS4211</t>
  </si>
  <si>
    <t>Prosess og straffere</t>
  </si>
  <si>
    <t>JUS4121</t>
  </si>
  <si>
    <t>Rettsøkonomi 1</t>
  </si>
  <si>
    <t>JUS4122</t>
  </si>
  <si>
    <t>Rettssosiologi 1</t>
  </si>
  <si>
    <t>JUS4123</t>
  </si>
  <si>
    <t>Rettsfilosofi</t>
  </si>
  <si>
    <t>Totalt</t>
  </si>
  <si>
    <t>Valgemner ba-nivå</t>
  </si>
  <si>
    <t>JUR1285</t>
  </si>
  <si>
    <t>Markedsrett</t>
  </si>
  <si>
    <t>JUROFF1500</t>
  </si>
  <si>
    <t>Valgemner</t>
  </si>
  <si>
    <t>Engelske</t>
  </si>
  <si>
    <t>BA</t>
  </si>
  <si>
    <t xml:space="preserve">Norske </t>
  </si>
  <si>
    <t>Valgemner ma-nivå</t>
  </si>
  <si>
    <t>MA</t>
  </si>
  <si>
    <t>Alle valgemner BA</t>
  </si>
  <si>
    <t>Alle valgemner MA</t>
  </si>
  <si>
    <t>Alle valgemner</t>
  </si>
  <si>
    <t>Alle emner rettsstudiet + valgemner</t>
  </si>
  <si>
    <t>totalt</t>
  </si>
  <si>
    <t>JUR5030</t>
  </si>
  <si>
    <t>Masteroppgave 30 stp</t>
  </si>
  <si>
    <t>JUR5060</t>
  </si>
  <si>
    <t>Masteroppgave 60 sto</t>
  </si>
  <si>
    <t>Oppnådd grad</t>
  </si>
  <si>
    <t>Høst 2021</t>
  </si>
  <si>
    <t>Høst 2020</t>
  </si>
  <si>
    <t>Høst 2019</t>
  </si>
  <si>
    <t>JUR1280</t>
  </si>
  <si>
    <t>Int. privatrett</t>
  </si>
  <si>
    <t>JUR1310</t>
  </si>
  <si>
    <t>EU Competition law</t>
  </si>
  <si>
    <t>JUR1430</t>
  </si>
  <si>
    <t>Tilvirkningskontrakter</t>
  </si>
  <si>
    <t>JUR1502</t>
  </si>
  <si>
    <t>Lovgivningslære</t>
  </si>
  <si>
    <t>JUR1502k</t>
  </si>
  <si>
    <t>Klart lovspråk</t>
  </si>
  <si>
    <t>JUR1511</t>
  </si>
  <si>
    <t>Arbeidsrett</t>
  </si>
  <si>
    <t xml:space="preserve">JUR1550 </t>
  </si>
  <si>
    <t>JUR1590</t>
  </si>
  <si>
    <t>Diskriminerings-og likestillingsrett</t>
  </si>
  <si>
    <t>JUR1710</t>
  </si>
  <si>
    <t>Int. Human rights law</t>
  </si>
  <si>
    <t>JUR1730</t>
  </si>
  <si>
    <t>International humanitarian law</t>
  </si>
  <si>
    <t>JUR1880</t>
  </si>
  <si>
    <t>Financial Market Law</t>
  </si>
  <si>
    <t>JUROFF1201</t>
  </si>
  <si>
    <t>Forvaltningsrett</t>
  </si>
  <si>
    <t>Strafferett</t>
  </si>
  <si>
    <t>(emnet gikk ikke)</t>
  </si>
  <si>
    <t>JUR5070</t>
  </si>
  <si>
    <t>Forhandlinger</t>
  </si>
  <si>
    <t>JUS5134</t>
  </si>
  <si>
    <t>JUS5251</t>
  </si>
  <si>
    <t>Ekspropriasjonsrett</t>
  </si>
  <si>
    <t>JUS5280</t>
  </si>
  <si>
    <t>JUS5310</t>
  </si>
  <si>
    <t>JUS5401</t>
  </si>
  <si>
    <t>Maritime law: contra</t>
  </si>
  <si>
    <t>JUS5402</t>
  </si>
  <si>
    <t xml:space="preserve">Maritime law: liability </t>
  </si>
  <si>
    <t>JUS5430</t>
  </si>
  <si>
    <t>Tilvirkningskontrakt</t>
  </si>
  <si>
    <t>JUS5501</t>
  </si>
  <si>
    <t>Rettslig bevisteori</t>
  </si>
  <si>
    <t>JUS5502</t>
  </si>
  <si>
    <t xml:space="preserve">Lovgivningslære </t>
  </si>
  <si>
    <t>JUS5506</t>
  </si>
  <si>
    <t>Politi- og påtalerett</t>
  </si>
  <si>
    <t>JUS5511</t>
  </si>
  <si>
    <t>Arbeidsrett (ind)</t>
  </si>
  <si>
    <t>JUS5520</t>
  </si>
  <si>
    <t>International Environmental law</t>
  </si>
  <si>
    <t>JUS5540</t>
  </si>
  <si>
    <t>Public international law</t>
  </si>
  <si>
    <t>JUS5550</t>
  </si>
  <si>
    <t>Helserett</t>
  </si>
  <si>
    <t>JUS5590</t>
  </si>
  <si>
    <t>Diskiriminerings- og likestillingsrett</t>
  </si>
  <si>
    <t>JUS5680</t>
  </si>
  <si>
    <t>Internet Governance</t>
  </si>
  <si>
    <t>JUS5690</t>
  </si>
  <si>
    <t>Robot regulation</t>
  </si>
  <si>
    <t>JUS5710</t>
  </si>
  <si>
    <t xml:space="preserve">International human </t>
  </si>
  <si>
    <t>JUS5730</t>
  </si>
  <si>
    <t>International humani</t>
  </si>
  <si>
    <t>JUS5810</t>
  </si>
  <si>
    <t>Opphavsrett</t>
  </si>
  <si>
    <t>JUS5860</t>
  </si>
  <si>
    <t>Konkurs- og panterett</t>
  </si>
  <si>
    <t>JUS5880</t>
  </si>
  <si>
    <t>Financial market law</t>
  </si>
  <si>
    <t>JUS5912</t>
  </si>
  <si>
    <t>Legal writing</t>
  </si>
  <si>
    <t>JUS5940</t>
  </si>
  <si>
    <t>Offentlige anskaffelser</t>
  </si>
  <si>
    <t>JUS5980</t>
  </si>
  <si>
    <t>Skatterett II</t>
  </si>
  <si>
    <t>JUS5982</t>
  </si>
  <si>
    <t>Skatterett 3 Interna</t>
  </si>
  <si>
    <t>JUS5983</t>
  </si>
  <si>
    <t xml:space="preserve">Tallene er hentet fra FS582.001 (viser antall oppmeldte ved trekkfrist og antall møtte til eksamen)  </t>
  </si>
  <si>
    <t>IKRS-emner</t>
  </si>
  <si>
    <t>KRIM2000</t>
  </si>
  <si>
    <t xml:space="preserve">Sentrale teoretiske </t>
  </si>
  <si>
    <t>KRIM2101</t>
  </si>
  <si>
    <t>Fordypningsoppgave i</t>
  </si>
  <si>
    <t>KRIM2919</t>
  </si>
  <si>
    <t>Politi, makt og samf</t>
  </si>
  <si>
    <t>KRIM2952</t>
  </si>
  <si>
    <t>A criminology of glo</t>
  </si>
  <si>
    <t>KRIM2953</t>
  </si>
  <si>
    <t>KRIM4919</t>
  </si>
  <si>
    <t>KRIM4952</t>
  </si>
  <si>
    <t>KRIM5001</t>
  </si>
  <si>
    <t>Masteroppgave i krim</t>
  </si>
  <si>
    <t>RSOS1801</t>
  </si>
  <si>
    <t>Innføring i rettssos</t>
  </si>
  <si>
    <t>RSOS5001</t>
  </si>
  <si>
    <t>Masteroppgave i rett</t>
  </si>
  <si>
    <t>HUMR-emner</t>
  </si>
  <si>
    <t>HUMR5191</t>
  </si>
  <si>
    <t>HUMR5200</t>
  </si>
  <si>
    <t>Thesis in The Theory</t>
  </si>
  <si>
    <t>Seri-emner</t>
  </si>
  <si>
    <t>H21</t>
  </si>
  <si>
    <t>H20</t>
  </si>
  <si>
    <t>H19</t>
  </si>
  <si>
    <t>FINF1001</t>
  </si>
  <si>
    <t>Digital forvaltning</t>
  </si>
  <si>
    <t>FINF4011</t>
  </si>
  <si>
    <t>Teknologi, forvaltni</t>
  </si>
  <si>
    <t>FINF4012</t>
  </si>
  <si>
    <t xml:space="preserve">Rettslig regulering </t>
  </si>
  <si>
    <t>FINF4031</t>
  </si>
  <si>
    <t>Individuell semester</t>
  </si>
  <si>
    <t>RINF1200</t>
  </si>
  <si>
    <t>Opphavsrett og beslektede rettigheter</t>
  </si>
  <si>
    <t>HUMR5131</t>
  </si>
  <si>
    <t>Human Rights in Hist</t>
  </si>
  <si>
    <t>HUMR5132</t>
  </si>
  <si>
    <t>Human Rights in Cont</t>
  </si>
  <si>
    <t>HUMR5133</t>
  </si>
  <si>
    <t>Business and Human R</t>
  </si>
  <si>
    <t>HUMR5140</t>
  </si>
  <si>
    <t>Human rights in inte</t>
  </si>
  <si>
    <t>Human rights methodology</t>
  </si>
  <si>
    <t>HUMR5502</t>
  </si>
  <si>
    <t>Dealing with Diversi</t>
  </si>
  <si>
    <t>(emnet hadde ingen oppmeldte)</t>
  </si>
  <si>
    <t>KRIM1000</t>
  </si>
  <si>
    <t>Innføring i kriminol</t>
  </si>
  <si>
    <t>KRIM1100</t>
  </si>
  <si>
    <t>KRIM1500</t>
  </si>
  <si>
    <t>Lovbrudd, lovbrytere og ofre</t>
  </si>
  <si>
    <t>KRIM2904</t>
  </si>
  <si>
    <t>Fengsler, fanger, sa</t>
  </si>
  <si>
    <t>KRIM2956</t>
  </si>
  <si>
    <t>International criminal justice</t>
  </si>
  <si>
    <t>KRIM2957</t>
  </si>
  <si>
    <t xml:space="preserve">Surveillance: Data, </t>
  </si>
  <si>
    <t>KRIM2961</t>
  </si>
  <si>
    <t>Kriminalitetsforebyg</t>
  </si>
  <si>
    <t>KRIM4101</t>
  </si>
  <si>
    <t>A criminology of globalization</t>
  </si>
  <si>
    <t>KRIM4956</t>
  </si>
  <si>
    <t>KRIM4957</t>
  </si>
  <si>
    <t>KRIM4961</t>
  </si>
  <si>
    <t>RSOS2952</t>
  </si>
  <si>
    <t>Law, Ideology and Hu</t>
  </si>
  <si>
    <t>RSOS2953</t>
  </si>
  <si>
    <t>Legal Anthropology</t>
  </si>
  <si>
    <t>RSOS4953</t>
  </si>
  <si>
    <t>(Emnet nedlagt)</t>
  </si>
  <si>
    <t>(Emnet gikk ikke)</t>
  </si>
  <si>
    <t>JUS5505</t>
  </si>
  <si>
    <t>Empiriske metoder f</t>
  </si>
  <si>
    <t>JUS5850</t>
  </si>
  <si>
    <t xml:space="preserve">International Trade </t>
  </si>
  <si>
    <t>Criminological perspectives</t>
  </si>
  <si>
    <t>KRIM4904</t>
  </si>
  <si>
    <t>KRS4105</t>
  </si>
  <si>
    <t>KRS4106</t>
  </si>
  <si>
    <t>Kvantitativ metode</t>
  </si>
  <si>
    <t>Kvalitativ metode</t>
  </si>
  <si>
    <t>Formuerett I (gammel)</t>
  </si>
  <si>
    <t>81,9*</t>
  </si>
  <si>
    <t>JUS3213</t>
  </si>
  <si>
    <t>Formuerett II (gammel)</t>
  </si>
  <si>
    <t>JUS3112/3113</t>
  </si>
  <si>
    <t xml:space="preserve">Samlet </t>
  </si>
  <si>
    <t>61,4*</t>
  </si>
  <si>
    <t>Andre emner</t>
  </si>
  <si>
    <t>Formuerett II (ny h21)</t>
  </si>
  <si>
    <t>International Law of peace</t>
  </si>
  <si>
    <t>(blitt våremne)</t>
  </si>
  <si>
    <t>(nedlagt)</t>
  </si>
  <si>
    <t xml:space="preserve">Helserett* </t>
  </si>
  <si>
    <t>*emnet er gjort om til JUROFF-emne fom h21</t>
  </si>
  <si>
    <t>ikke klart</t>
  </si>
  <si>
    <t>JUROFF1550</t>
  </si>
  <si>
    <t>Introduksjon til helserett (ny h21)</t>
  </si>
  <si>
    <t>emnet gikk som JUR1550</t>
  </si>
  <si>
    <t>JUR1070</t>
  </si>
  <si>
    <t>Forhandlinger (ny h21)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</si>
</sst>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b/>
      <sz val="10"/>
      <name val="Arial"/>
      <family val="2"/>
    </font>
    <font>
      <i/>
      <sz val="10"/>
      <name val="Arial"/>
      <family val="2"/>
    </font>
    <font>
      <b/>
      <sz val="10"/>
      <color theme="1"/>
      <name val="Calibri body"/>
    </font>
    <font>
      <sz val="10"/>
      <name val="Arial"/>
      <family val="2"/>
    </font>
  </fonts>
  <fills count="14">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rgb="FFC00000"/>
        <bgColor indexed="64"/>
      </patternFill>
    </fill>
    <fill>
      <patternFill patternType="solid">
        <fgColor rgb="FFFF000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FFC000"/>
        <bgColor indexed="64"/>
      </patternFill>
    </fill>
    <fill>
      <patternFill patternType="solid">
        <fgColor theme="0"/>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4" fillId="0" borderId="0"/>
    <xf numFmtId="0" fontId="4" fillId="0" borderId="0"/>
    <xf numFmtId="0" fontId="9" fillId="0" borderId="0"/>
  </cellStyleXfs>
  <cellXfs count="383">
    <xf numFmtId="0" fontId="0" fillId="0" borderId="0" xfId="0"/>
    <xf numFmtId="0" fontId="3" fillId="0" borderId="0" xfId="0" applyFont="1" applyBorder="1"/>
    <xf numFmtId="0" fontId="0" fillId="2" borderId="0" xfId="0" applyFill="1"/>
    <xf numFmtId="0" fontId="0" fillId="0" borderId="0" xfId="0" applyFill="1"/>
    <xf numFmtId="0" fontId="2" fillId="0" borderId="0" xfId="0" applyFont="1" applyBorder="1"/>
    <xf numFmtId="0" fontId="2" fillId="3" borderId="2" xfId="0" applyFont="1" applyFill="1" applyBorder="1"/>
    <xf numFmtId="9" fontId="2" fillId="3" borderId="2" xfId="1" applyFont="1" applyFill="1" applyBorder="1"/>
    <xf numFmtId="9" fontId="2" fillId="2" borderId="2" xfId="1" applyFont="1" applyFill="1" applyBorder="1"/>
    <xf numFmtId="0" fontId="0" fillId="4" borderId="1" xfId="0" applyFill="1" applyBorder="1"/>
    <xf numFmtId="0" fontId="2" fillId="4" borderId="2" xfId="0" applyFont="1" applyFill="1" applyBorder="1"/>
    <xf numFmtId="9" fontId="2" fillId="4" borderId="2" xfId="1" applyFont="1" applyFill="1" applyBorder="1"/>
    <xf numFmtId="0" fontId="2" fillId="2" borderId="2" xfId="0" applyFont="1" applyFill="1" applyBorder="1"/>
    <xf numFmtId="0" fontId="0" fillId="5" borderId="1" xfId="0" applyFill="1" applyBorder="1"/>
    <xf numFmtId="0" fontId="2" fillId="5" borderId="2" xfId="0" applyFont="1" applyFill="1" applyBorder="1"/>
    <xf numFmtId="9" fontId="2" fillId="5" borderId="2" xfId="1" applyFont="1" applyFill="1" applyBorder="1"/>
    <xf numFmtId="0" fontId="2" fillId="6" borderId="1" xfId="0" applyFont="1" applyFill="1" applyBorder="1"/>
    <xf numFmtId="0" fontId="0" fillId="6" borderId="2" xfId="0" applyFill="1" applyBorder="1"/>
    <xf numFmtId="0" fontId="2" fillId="3" borderId="1" xfId="0" applyFont="1" applyFill="1" applyBorder="1"/>
    <xf numFmtId="0" fontId="2" fillId="3" borderId="2" xfId="0" applyFont="1" applyFill="1" applyBorder="1" applyAlignment="1">
      <alignment horizontal="right"/>
    </xf>
    <xf numFmtId="9" fontId="2" fillId="3" borderId="2" xfId="1" applyFont="1" applyFill="1" applyBorder="1" applyAlignment="1">
      <alignment horizontal="right"/>
    </xf>
    <xf numFmtId="9" fontId="2" fillId="2" borderId="2" xfId="1" applyFont="1" applyFill="1" applyBorder="1" applyAlignment="1">
      <alignment horizontal="right"/>
    </xf>
    <xf numFmtId="0" fontId="2" fillId="4" borderId="1" xfId="0" applyFont="1" applyFill="1" applyBorder="1"/>
    <xf numFmtId="0" fontId="2" fillId="4" borderId="2" xfId="0" applyFont="1" applyFill="1" applyBorder="1" applyAlignment="1">
      <alignment horizontal="right"/>
    </xf>
    <xf numFmtId="9" fontId="2" fillId="4" borderId="2" xfId="1" applyFont="1" applyFill="1" applyBorder="1" applyAlignment="1">
      <alignment horizontal="right"/>
    </xf>
    <xf numFmtId="0" fontId="2" fillId="5" borderId="1" xfId="0" applyFont="1" applyFill="1" applyBorder="1"/>
    <xf numFmtId="0" fontId="2" fillId="5" borderId="2" xfId="0" applyFont="1" applyFill="1" applyBorder="1" applyAlignment="1">
      <alignment horizontal="right"/>
    </xf>
    <xf numFmtId="9" fontId="2" fillId="5" borderId="2" xfId="1" applyFont="1" applyFill="1" applyBorder="1" applyAlignment="1">
      <alignment horizontal="right"/>
    </xf>
    <xf numFmtId="0" fontId="0" fillId="0" borderId="0" xfId="0" applyFill="1" applyBorder="1"/>
    <xf numFmtId="0" fontId="2" fillId="2" borderId="0" xfId="0" applyFont="1" applyFill="1" applyBorder="1"/>
    <xf numFmtId="0" fontId="0" fillId="0" borderId="3" xfId="0" applyBorder="1"/>
    <xf numFmtId="0" fontId="0" fillId="0" borderId="0" xfId="0" applyBorder="1"/>
    <xf numFmtId="0" fontId="0" fillId="3" borderId="4" xfId="0" applyFill="1" applyBorder="1"/>
    <xf numFmtId="0" fontId="0" fillId="3" borderId="0" xfId="0" applyFill="1" applyBorder="1"/>
    <xf numFmtId="9" fontId="0" fillId="3" borderId="0" xfId="1" applyFont="1" applyFill="1" applyBorder="1"/>
    <xf numFmtId="9" fontId="0" fillId="2" borderId="0" xfId="1" applyFont="1" applyFill="1" applyBorder="1"/>
    <xf numFmtId="0" fontId="0" fillId="4" borderId="0" xfId="0" applyFill="1" applyBorder="1"/>
    <xf numFmtId="9" fontId="0" fillId="4" borderId="0" xfId="1" applyFont="1" applyFill="1" applyBorder="1"/>
    <xf numFmtId="0" fontId="0" fillId="4" borderId="5" xfId="0" applyFill="1" applyBorder="1"/>
    <xf numFmtId="0" fontId="0" fillId="2" borderId="0" xfId="0" applyFill="1" applyBorder="1"/>
    <xf numFmtId="0" fontId="0" fillId="5" borderId="0" xfId="0" applyFill="1" applyBorder="1"/>
    <xf numFmtId="9" fontId="4" fillId="5" borderId="0" xfId="1" applyFont="1" applyFill="1" applyBorder="1"/>
    <xf numFmtId="0" fontId="4" fillId="0" borderId="0" xfId="2" applyBorder="1"/>
    <xf numFmtId="0" fontId="4" fillId="3" borderId="4" xfId="2" applyFill="1" applyBorder="1"/>
    <xf numFmtId="0" fontId="4" fillId="3" borderId="0" xfId="2" applyFill="1" applyBorder="1"/>
    <xf numFmtId="0" fontId="4" fillId="4" borderId="0" xfId="2" applyFill="1" applyBorder="1"/>
    <xf numFmtId="0" fontId="0" fillId="7" borderId="5" xfId="0" applyFill="1" applyBorder="1"/>
    <xf numFmtId="0" fontId="4" fillId="5" borderId="0" xfId="2" applyFill="1" applyBorder="1"/>
    <xf numFmtId="9" fontId="4" fillId="3" borderId="0" xfId="1" applyFont="1" applyFill="1" applyBorder="1"/>
    <xf numFmtId="9" fontId="4" fillId="2" borderId="0" xfId="1" applyFont="1" applyFill="1" applyBorder="1"/>
    <xf numFmtId="9" fontId="4" fillId="4" borderId="0" xfId="1" applyFont="1" applyFill="1" applyBorder="1"/>
    <xf numFmtId="0" fontId="4" fillId="0" borderId="3" xfId="2" applyBorder="1"/>
    <xf numFmtId="0" fontId="0" fillId="3" borderId="0" xfId="0" applyFill="1"/>
    <xf numFmtId="0" fontId="4" fillId="5" borderId="0" xfId="3" applyFill="1" applyBorder="1"/>
    <xf numFmtId="0" fontId="4" fillId="0" borderId="0" xfId="2" applyFill="1" applyBorder="1"/>
    <xf numFmtId="0" fontId="0" fillId="0" borderId="6" xfId="0" applyBorder="1"/>
    <xf numFmtId="0" fontId="6" fillId="0" borderId="7" xfId="2" applyFont="1" applyFill="1" applyBorder="1"/>
    <xf numFmtId="0" fontId="2" fillId="3" borderId="7" xfId="0" applyFont="1" applyFill="1" applyBorder="1"/>
    <xf numFmtId="9" fontId="2" fillId="3" borderId="7" xfId="1" applyFont="1" applyFill="1" applyBorder="1"/>
    <xf numFmtId="9" fontId="2" fillId="2" borderId="7" xfId="1" applyFont="1" applyFill="1" applyBorder="1"/>
    <xf numFmtId="0" fontId="0" fillId="2" borderId="7" xfId="0" applyFill="1" applyBorder="1"/>
    <xf numFmtId="0" fontId="6" fillId="0" borderId="0" xfId="2" applyFont="1" applyFill="1" applyBorder="1"/>
    <xf numFmtId="9" fontId="0" fillId="0" borderId="0" xfId="1" applyFont="1" applyFill="1"/>
    <xf numFmtId="0" fontId="2" fillId="4" borderId="0" xfId="0" applyFont="1" applyFill="1" applyBorder="1"/>
    <xf numFmtId="9" fontId="0" fillId="0" borderId="0" xfId="1" applyFont="1"/>
    <xf numFmtId="9" fontId="2" fillId="3" borderId="9" xfId="1" applyFont="1" applyFill="1" applyBorder="1" applyAlignment="1">
      <alignment horizontal="right"/>
    </xf>
    <xf numFmtId="9" fontId="2" fillId="3" borderId="0" xfId="1" applyFont="1" applyFill="1" applyBorder="1" applyAlignment="1">
      <alignment horizontal="right"/>
    </xf>
    <xf numFmtId="9" fontId="2" fillId="2" borderId="0" xfId="1" applyFont="1" applyFill="1" applyBorder="1" applyAlignment="1">
      <alignment horizontal="right"/>
    </xf>
    <xf numFmtId="9" fontId="2" fillId="4" borderId="0" xfId="1" applyFont="1" applyFill="1" applyBorder="1" applyAlignment="1">
      <alignment horizontal="right"/>
    </xf>
    <xf numFmtId="0" fontId="4" fillId="2" borderId="0" xfId="2" applyFill="1" applyBorder="1"/>
    <xf numFmtId="0" fontId="4" fillId="5" borderId="3" xfId="3" applyFont="1" applyFill="1" applyBorder="1"/>
    <xf numFmtId="0" fontId="4" fillId="5" borderId="3" xfId="3" applyFill="1" applyBorder="1"/>
    <xf numFmtId="9" fontId="4" fillId="3" borderId="0" xfId="2" applyNumberFormat="1" applyFill="1" applyBorder="1"/>
    <xf numFmtId="9" fontId="0" fillId="5" borderId="0" xfId="1" applyFont="1" applyFill="1" applyBorder="1"/>
    <xf numFmtId="0" fontId="4" fillId="0" borderId="1" xfId="2" applyBorder="1"/>
    <xf numFmtId="9" fontId="2" fillId="3" borderId="9" xfId="1" applyFont="1" applyFill="1" applyBorder="1"/>
    <xf numFmtId="0" fontId="2" fillId="0" borderId="0" xfId="0" applyFont="1" applyFill="1" applyBorder="1"/>
    <xf numFmtId="9" fontId="2" fillId="0" borderId="0" xfId="1" applyFont="1" applyFill="1" applyBorder="1"/>
    <xf numFmtId="0" fontId="6" fillId="6" borderId="10" xfId="2" applyFont="1" applyFill="1" applyBorder="1"/>
    <xf numFmtId="0" fontId="6" fillId="0" borderId="12" xfId="2" applyFont="1" applyFill="1" applyBorder="1"/>
    <xf numFmtId="0" fontId="2" fillId="3" borderId="12" xfId="0" applyFont="1" applyFill="1" applyBorder="1"/>
    <xf numFmtId="9" fontId="2" fillId="3" borderId="12" xfId="1" applyFont="1" applyFill="1" applyBorder="1"/>
    <xf numFmtId="9" fontId="2" fillId="2" borderId="12" xfId="1" applyFont="1" applyFill="1" applyBorder="1"/>
    <xf numFmtId="0" fontId="2" fillId="4" borderId="12" xfId="0" applyFont="1" applyFill="1" applyBorder="1"/>
    <xf numFmtId="9" fontId="2" fillId="4" borderId="12" xfId="1" applyFont="1" applyFill="1" applyBorder="1"/>
    <xf numFmtId="0" fontId="2" fillId="2" borderId="12" xfId="0" applyFont="1" applyFill="1" applyBorder="1"/>
    <xf numFmtId="0" fontId="2" fillId="5" borderId="12" xfId="0" applyFont="1" applyFill="1" applyBorder="1"/>
    <xf numFmtId="9" fontId="2" fillId="5" borderId="12" xfId="1" applyFont="1" applyFill="1" applyBorder="1"/>
    <xf numFmtId="0" fontId="6" fillId="6" borderId="13" xfId="2" applyFont="1" applyFill="1" applyBorder="1"/>
    <xf numFmtId="0" fontId="6" fillId="0" borderId="14" xfId="2" applyFont="1" applyFill="1" applyBorder="1"/>
    <xf numFmtId="0" fontId="2" fillId="3" borderId="14" xfId="0" applyFont="1" applyFill="1" applyBorder="1"/>
    <xf numFmtId="9" fontId="2" fillId="3" borderId="14" xfId="1" applyFont="1" applyFill="1" applyBorder="1"/>
    <xf numFmtId="9" fontId="2" fillId="2" borderId="14" xfId="1" applyFont="1" applyFill="1" applyBorder="1"/>
    <xf numFmtId="0" fontId="2" fillId="4" borderId="14" xfId="0" applyFont="1" applyFill="1" applyBorder="1"/>
    <xf numFmtId="9" fontId="2" fillId="4" borderId="14" xfId="1" applyFont="1" applyFill="1" applyBorder="1"/>
    <xf numFmtId="0" fontId="2" fillId="2" borderId="14" xfId="0" applyFont="1" applyFill="1" applyBorder="1"/>
    <xf numFmtId="0" fontId="2" fillId="5" borderId="14" xfId="0" applyFont="1" applyFill="1" applyBorder="1"/>
    <xf numFmtId="9" fontId="2" fillId="5" borderId="14" xfId="1" applyFont="1" applyFill="1" applyBorder="1"/>
    <xf numFmtId="9" fontId="0" fillId="0" borderId="0" xfId="1" applyFont="1" applyBorder="1"/>
    <xf numFmtId="9" fontId="0" fillId="0" borderId="0" xfId="1" applyFont="1" applyFill="1" applyBorder="1"/>
    <xf numFmtId="0" fontId="6" fillId="0" borderId="10" xfId="2" applyFont="1" applyBorder="1"/>
    <xf numFmtId="0" fontId="2" fillId="0" borderId="12" xfId="0" applyFont="1" applyBorder="1"/>
    <xf numFmtId="0" fontId="0" fillId="0" borderId="12" xfId="0" applyFont="1" applyFill="1" applyBorder="1"/>
    <xf numFmtId="9" fontId="1" fillId="0" borderId="12" xfId="1" applyFont="1" applyFill="1" applyBorder="1"/>
    <xf numFmtId="9" fontId="1" fillId="2" borderId="12" xfId="1" applyFont="1" applyFill="1" applyBorder="1"/>
    <xf numFmtId="0" fontId="6" fillId="6" borderId="1" xfId="2" applyFont="1" applyFill="1" applyBorder="1"/>
    <xf numFmtId="0" fontId="0" fillId="6" borderId="2" xfId="0" applyFont="1" applyFill="1" applyBorder="1"/>
    <xf numFmtId="0" fontId="4" fillId="0" borderId="0" xfId="2" applyFont="1" applyFill="1" applyBorder="1"/>
    <xf numFmtId="0" fontId="4" fillId="3" borderId="15" xfId="2" applyFill="1" applyBorder="1"/>
    <xf numFmtId="0" fontId="0" fillId="2" borderId="0" xfId="0" applyFont="1" applyFill="1" applyBorder="1"/>
    <xf numFmtId="0" fontId="4" fillId="0" borderId="0" xfId="2" applyFont="1" applyBorder="1"/>
    <xf numFmtId="0" fontId="4" fillId="3" borderId="4" xfId="2" applyFont="1" applyFill="1" applyBorder="1"/>
    <xf numFmtId="0" fontId="4" fillId="3" borderId="0" xfId="2" applyFont="1" applyFill="1" applyBorder="1"/>
    <xf numFmtId="9" fontId="4" fillId="3" borderId="15" xfId="1" applyFont="1" applyFill="1" applyBorder="1"/>
    <xf numFmtId="9" fontId="1" fillId="4" borderId="0" xfId="1" applyFont="1" applyFill="1" applyBorder="1"/>
    <xf numFmtId="9" fontId="1" fillId="3" borderId="15" xfId="1" applyFont="1" applyFill="1" applyBorder="1"/>
    <xf numFmtId="9" fontId="1" fillId="3" borderId="0" xfId="1" applyFont="1" applyFill="1" applyBorder="1"/>
    <xf numFmtId="9" fontId="1" fillId="2" borderId="0" xfId="1" applyFont="1" applyFill="1" applyBorder="1"/>
    <xf numFmtId="0" fontId="4" fillId="0" borderId="10" xfId="2" applyFont="1" applyBorder="1"/>
    <xf numFmtId="0" fontId="6" fillId="0" borderId="1" xfId="2" applyFont="1" applyBorder="1"/>
    <xf numFmtId="0" fontId="6" fillId="3" borderId="2" xfId="2" applyFont="1" applyFill="1" applyBorder="1"/>
    <xf numFmtId="0" fontId="6" fillId="4" borderId="2" xfId="2" applyFont="1" applyFill="1" applyBorder="1"/>
    <xf numFmtId="9" fontId="2" fillId="5" borderId="9" xfId="1" applyFont="1" applyFill="1" applyBorder="1"/>
    <xf numFmtId="0" fontId="6" fillId="0" borderId="0" xfId="2" applyFont="1" applyBorder="1"/>
    <xf numFmtId="0" fontId="8" fillId="4" borderId="14" xfId="0" applyFont="1" applyFill="1" applyBorder="1"/>
    <xf numFmtId="9" fontId="8" fillId="4" borderId="14" xfId="1" applyFont="1" applyFill="1" applyBorder="1"/>
    <xf numFmtId="0" fontId="8" fillId="0" borderId="0" xfId="0" applyFont="1" applyFill="1" applyBorder="1"/>
    <xf numFmtId="9" fontId="8" fillId="0" borderId="0" xfId="1" applyFont="1" applyFill="1" applyBorder="1"/>
    <xf numFmtId="0" fontId="6" fillId="6" borderId="16" xfId="2" applyFont="1" applyFill="1" applyBorder="1"/>
    <xf numFmtId="0" fontId="0" fillId="6" borderId="12" xfId="0" applyFill="1" applyBorder="1"/>
    <xf numFmtId="0" fontId="2" fillId="10" borderId="12" xfId="0" applyFont="1" applyFill="1" applyBorder="1"/>
    <xf numFmtId="9" fontId="2" fillId="10" borderId="12" xfId="1" applyFont="1" applyFill="1" applyBorder="1"/>
    <xf numFmtId="0" fontId="8" fillId="10" borderId="12" xfId="0" applyFont="1" applyFill="1" applyBorder="1"/>
    <xf numFmtId="9" fontId="8" fillId="10" borderId="12" xfId="1" applyFont="1" applyFill="1" applyBorder="1"/>
    <xf numFmtId="9" fontId="2" fillId="10" borderId="11" xfId="1" applyFont="1" applyFill="1" applyBorder="1"/>
    <xf numFmtId="0" fontId="6" fillId="6" borderId="17" xfId="2" applyFont="1" applyFill="1" applyBorder="1"/>
    <xf numFmtId="0" fontId="0" fillId="6" borderId="0" xfId="0" applyFill="1" applyBorder="1"/>
    <xf numFmtId="0" fontId="6" fillId="6" borderId="18" xfId="2" applyFont="1" applyFill="1" applyBorder="1"/>
    <xf numFmtId="0" fontId="0" fillId="10" borderId="0" xfId="0" applyFill="1" applyBorder="1"/>
    <xf numFmtId="0" fontId="2" fillId="10" borderId="0" xfId="0" applyFont="1" applyFill="1" applyBorder="1"/>
    <xf numFmtId="0" fontId="0" fillId="10" borderId="5" xfId="0" applyFill="1" applyBorder="1"/>
    <xf numFmtId="0" fontId="2" fillId="6" borderId="2" xfId="0" applyFont="1" applyFill="1" applyBorder="1"/>
    <xf numFmtId="0" fontId="6" fillId="6" borderId="2" xfId="2" applyFont="1" applyFill="1" applyBorder="1"/>
    <xf numFmtId="0" fontId="6" fillId="10" borderId="2" xfId="2" applyFont="1" applyFill="1" applyBorder="1"/>
    <xf numFmtId="0" fontId="2" fillId="10" borderId="2" xfId="0" applyFont="1" applyFill="1" applyBorder="1"/>
    <xf numFmtId="0" fontId="2" fillId="10" borderId="9" xfId="0" applyFont="1" applyFill="1" applyBorder="1"/>
    <xf numFmtId="9" fontId="2" fillId="5" borderId="9" xfId="1" applyFont="1" applyFill="1" applyBorder="1" applyAlignment="1">
      <alignment horizontal="right"/>
    </xf>
    <xf numFmtId="0" fontId="4" fillId="5" borderId="5" xfId="3" applyFill="1" applyBorder="1"/>
    <xf numFmtId="0" fontId="0" fillId="5" borderId="9" xfId="0" applyFill="1" applyBorder="1"/>
    <xf numFmtId="9" fontId="2" fillId="5" borderId="11" xfId="1" applyFont="1" applyFill="1" applyBorder="1"/>
    <xf numFmtId="9" fontId="2" fillId="5" borderId="19" xfId="1" applyFont="1" applyFill="1" applyBorder="1"/>
    <xf numFmtId="9" fontId="1" fillId="0" borderId="11" xfId="1" applyFont="1" applyFill="1" applyBorder="1"/>
    <xf numFmtId="0" fontId="7" fillId="3" borderId="7" xfId="2" applyFont="1" applyFill="1" applyBorder="1"/>
    <xf numFmtId="9" fontId="7" fillId="3" borderId="7" xfId="2" applyNumberFormat="1" applyFont="1" applyFill="1" applyBorder="1"/>
    <xf numFmtId="0" fontId="7" fillId="3" borderId="8" xfId="2" applyNumberFormat="1" applyFont="1" applyFill="1" applyBorder="1"/>
    <xf numFmtId="9" fontId="0" fillId="10" borderId="0" xfId="1" applyFont="1" applyFill="1" applyBorder="1"/>
    <xf numFmtId="0" fontId="4" fillId="10" borderId="0" xfId="2" applyFill="1" applyBorder="1"/>
    <xf numFmtId="9" fontId="4" fillId="10" borderId="0" xfId="1" applyFont="1" applyFill="1" applyBorder="1"/>
    <xf numFmtId="0" fontId="4" fillId="10" borderId="0" xfId="2" applyFill="1"/>
    <xf numFmtId="0" fontId="0" fillId="10" borderId="3" xfId="0" applyFill="1" applyBorder="1"/>
    <xf numFmtId="0" fontId="4" fillId="10" borderId="3" xfId="2" applyFill="1" applyBorder="1"/>
    <xf numFmtId="0" fontId="0" fillId="10" borderId="13" xfId="0" applyFill="1" applyBorder="1"/>
    <xf numFmtId="0" fontId="0" fillId="10" borderId="14" xfId="0" applyFill="1" applyBorder="1"/>
    <xf numFmtId="9" fontId="0" fillId="10" borderId="14" xfId="1" applyFont="1" applyFill="1" applyBorder="1"/>
    <xf numFmtId="0" fontId="0" fillId="12" borderId="5" xfId="0" applyFill="1" applyBorder="1"/>
    <xf numFmtId="0" fontId="5" fillId="10" borderId="5" xfId="0" applyFont="1" applyFill="1" applyBorder="1"/>
    <xf numFmtId="0" fontId="0" fillId="9" borderId="5" xfId="0" applyFill="1" applyBorder="1"/>
    <xf numFmtId="0" fontId="0" fillId="10" borderId="19" xfId="0" applyFill="1" applyBorder="1"/>
    <xf numFmtId="0" fontId="4" fillId="12" borderId="5" xfId="3" applyFill="1" applyBorder="1"/>
    <xf numFmtId="0" fontId="4" fillId="11" borderId="5" xfId="3" applyFill="1" applyBorder="1"/>
    <xf numFmtId="0" fontId="4" fillId="5" borderId="14" xfId="3" applyFill="1" applyBorder="1"/>
    <xf numFmtId="9" fontId="4" fillId="5" borderId="14" xfId="1" applyFont="1" applyFill="1" applyBorder="1"/>
    <xf numFmtId="0" fontId="0" fillId="5" borderId="19" xfId="0" applyFill="1" applyBorder="1"/>
    <xf numFmtId="0" fontId="5" fillId="13" borderId="0" xfId="0" applyFont="1" applyFill="1" applyBorder="1"/>
    <xf numFmtId="0" fontId="0" fillId="0" borderId="5" xfId="0" applyBorder="1"/>
    <xf numFmtId="0" fontId="0" fillId="0" borderId="19" xfId="0" applyBorder="1"/>
    <xf numFmtId="9" fontId="4" fillId="10" borderId="14" xfId="1" applyFont="1" applyFill="1" applyBorder="1"/>
    <xf numFmtId="0" fontId="4" fillId="5" borderId="13" xfId="3" applyFill="1" applyBorder="1"/>
    <xf numFmtId="0" fontId="2" fillId="10" borderId="1" xfId="0" applyFont="1" applyFill="1" applyBorder="1"/>
    <xf numFmtId="0" fontId="2" fillId="10" borderId="13" xfId="0" applyFont="1" applyFill="1" applyBorder="1"/>
    <xf numFmtId="0" fontId="2" fillId="10" borderId="14" xfId="0" applyFont="1" applyFill="1" applyBorder="1"/>
    <xf numFmtId="9" fontId="2" fillId="10" borderId="14" xfId="1" applyFont="1" applyFill="1" applyBorder="1"/>
    <xf numFmtId="0" fontId="0" fillId="13" borderId="3" xfId="0" applyFill="1" applyBorder="1"/>
    <xf numFmtId="0" fontId="4" fillId="13" borderId="3" xfId="3" applyFill="1" applyBorder="1"/>
    <xf numFmtId="0" fontId="4" fillId="0" borderId="0" xfId="3" applyBorder="1"/>
    <xf numFmtId="0" fontId="4" fillId="0" borderId="0" xfId="3" applyFill="1" applyBorder="1"/>
    <xf numFmtId="0" fontId="0" fillId="0" borderId="3" xfId="0" applyFill="1" applyBorder="1"/>
    <xf numFmtId="0" fontId="4" fillId="0" borderId="3" xfId="3" applyBorder="1"/>
    <xf numFmtId="0" fontId="4" fillId="5" borderId="3" xfId="2" applyFill="1" applyBorder="1"/>
    <xf numFmtId="0" fontId="0" fillId="5" borderId="3" xfId="0" applyFill="1" applyBorder="1"/>
    <xf numFmtId="10" fontId="0" fillId="0" borderId="0" xfId="0" applyNumberFormat="1"/>
    <xf numFmtId="0" fontId="0" fillId="0" borderId="10" xfId="0" applyBorder="1"/>
    <xf numFmtId="0" fontId="0" fillId="0" borderId="12" xfId="0" applyBorder="1"/>
    <xf numFmtId="0" fontId="0" fillId="0" borderId="11" xfId="0" applyBorder="1"/>
    <xf numFmtId="0" fontId="2" fillId="3" borderId="10" xfId="0" applyFont="1" applyFill="1" applyBorder="1"/>
    <xf numFmtId="10" fontId="2" fillId="3" borderId="11" xfId="0" applyNumberFormat="1" applyFont="1" applyFill="1" applyBorder="1"/>
    <xf numFmtId="0" fontId="2" fillId="10" borderId="10" xfId="0" applyFont="1" applyFill="1" applyBorder="1"/>
    <xf numFmtId="0" fontId="4" fillId="6" borderId="1" xfId="2" applyFont="1" applyFill="1" applyBorder="1"/>
    <xf numFmtId="0" fontId="0" fillId="6" borderId="9" xfId="0" applyFill="1" applyBorder="1"/>
    <xf numFmtId="0" fontId="2" fillId="10" borderId="2" xfId="0" applyFont="1" applyFill="1" applyBorder="1" applyAlignment="1">
      <alignment horizontal="right"/>
    </xf>
    <xf numFmtId="9" fontId="2" fillId="10" borderId="2" xfId="1" applyFont="1" applyFill="1" applyBorder="1" applyAlignment="1">
      <alignment horizontal="right"/>
    </xf>
    <xf numFmtId="0" fontId="4" fillId="0" borderId="5" xfId="2" applyBorder="1"/>
    <xf numFmtId="0" fontId="4" fillId="3" borderId="3" xfId="2" applyFill="1" applyBorder="1"/>
    <xf numFmtId="0" fontId="4" fillId="0" borderId="15" xfId="2" applyBorder="1"/>
    <xf numFmtId="0" fontId="4" fillId="13" borderId="5" xfId="2" applyFill="1" applyBorder="1"/>
    <xf numFmtId="0" fontId="6" fillId="0" borderId="2" xfId="2" applyFont="1" applyBorder="1"/>
    <xf numFmtId="0" fontId="6" fillId="0" borderId="9" xfId="2" applyFont="1" applyBorder="1"/>
    <xf numFmtId="0" fontId="6" fillId="3" borderId="1" xfId="2" applyFont="1" applyFill="1" applyBorder="1"/>
    <xf numFmtId="0" fontId="0" fillId="3" borderId="10" xfId="0" applyFill="1" applyBorder="1"/>
    <xf numFmtId="0" fontId="4" fillId="6" borderId="1" xfId="2" applyFill="1" applyBorder="1"/>
    <xf numFmtId="0" fontId="4" fillId="6" borderId="9" xfId="2" applyFill="1" applyBorder="1"/>
    <xf numFmtId="0" fontId="4" fillId="3" borderId="5" xfId="2" applyNumberFormat="1" applyFill="1" applyBorder="1"/>
    <xf numFmtId="0" fontId="4" fillId="0" borderId="13" xfId="2" applyBorder="1"/>
    <xf numFmtId="0" fontId="4" fillId="0" borderId="19" xfId="2" applyBorder="1"/>
    <xf numFmtId="0" fontId="4" fillId="10" borderId="14" xfId="2" applyFill="1" applyBorder="1"/>
    <xf numFmtId="9" fontId="2" fillId="10" borderId="9" xfId="1" applyFont="1" applyFill="1" applyBorder="1" applyAlignment="1">
      <alignment horizontal="right"/>
    </xf>
    <xf numFmtId="0" fontId="4" fillId="0" borderId="14" xfId="2" applyBorder="1"/>
    <xf numFmtId="0" fontId="0" fillId="0" borderId="13" xfId="0" applyBorder="1"/>
    <xf numFmtId="0" fontId="2" fillId="0" borderId="14" xfId="0" applyFont="1" applyBorder="1"/>
    <xf numFmtId="0" fontId="2" fillId="3" borderId="13" xfId="0" applyFont="1" applyFill="1" applyBorder="1"/>
    <xf numFmtId="9" fontId="6" fillId="10" borderId="2" xfId="1" applyFont="1" applyFill="1" applyBorder="1"/>
    <xf numFmtId="0" fontId="4" fillId="5" borderId="14" xfId="2" applyFill="1" applyBorder="1"/>
    <xf numFmtId="9" fontId="0" fillId="5" borderId="14" xfId="1" applyFont="1" applyFill="1" applyBorder="1"/>
    <xf numFmtId="0" fontId="4" fillId="5" borderId="2" xfId="2" applyFill="1" applyBorder="1"/>
    <xf numFmtId="9" fontId="0" fillId="5" borderId="2" xfId="1" applyFont="1" applyFill="1" applyBorder="1"/>
    <xf numFmtId="0" fontId="6" fillId="5" borderId="2" xfId="2" applyFont="1" applyFill="1" applyBorder="1"/>
    <xf numFmtId="0" fontId="0" fillId="0" borderId="3" xfId="0" applyFont="1" applyBorder="1"/>
    <xf numFmtId="0" fontId="0" fillId="5" borderId="14" xfId="0" applyFill="1" applyBorder="1"/>
    <xf numFmtId="0" fontId="9" fillId="0" borderId="0" xfId="4" applyFill="1"/>
    <xf numFmtId="0" fontId="4" fillId="0" borderId="0" xfId="2" applyFill="1"/>
    <xf numFmtId="0" fontId="4" fillId="0" borderId="0" xfId="2"/>
    <xf numFmtId="0" fontId="4" fillId="0" borderId="0" xfId="2"/>
    <xf numFmtId="0" fontId="4" fillId="0" borderId="0" xfId="2"/>
    <xf numFmtId="0" fontId="4" fillId="0" borderId="0" xfId="2"/>
    <xf numFmtId="0" fontId="4" fillId="0" borderId="0" xfId="2"/>
    <xf numFmtId="0" fontId="4" fillId="0" borderId="0" xfId="2"/>
    <xf numFmtId="0" fontId="4" fillId="0" borderId="0" xfId="2"/>
    <xf numFmtId="0" fontId="4" fillId="3" borderId="0" xfId="4" applyFont="1" applyFill="1"/>
    <xf numFmtId="0" fontId="0" fillId="3" borderId="20" xfId="0" applyFill="1" applyBorder="1"/>
    <xf numFmtId="0" fontId="2" fillId="3" borderId="21" xfId="0" applyFont="1" applyFill="1" applyBorder="1"/>
    <xf numFmtId="9" fontId="2" fillId="3" borderId="21" xfId="1" applyFont="1" applyFill="1" applyBorder="1"/>
    <xf numFmtId="9" fontId="2" fillId="3" borderId="22" xfId="1" applyFont="1" applyFill="1" applyBorder="1"/>
    <xf numFmtId="0" fontId="2" fillId="3" borderId="23" xfId="0" applyFont="1" applyFill="1" applyBorder="1"/>
    <xf numFmtId="9" fontId="2" fillId="3" borderId="24" xfId="1" applyFont="1" applyFill="1" applyBorder="1" applyAlignment="1">
      <alignment horizontal="right"/>
    </xf>
    <xf numFmtId="0" fontId="0" fillId="3" borderId="15" xfId="1" applyNumberFormat="1" applyFont="1" applyFill="1" applyBorder="1"/>
    <xf numFmtId="0" fontId="4" fillId="12" borderId="15" xfId="1" applyNumberFormat="1" applyFont="1" applyFill="1" applyBorder="1"/>
    <xf numFmtId="0" fontId="4" fillId="3" borderId="15" xfId="1" applyNumberFormat="1" applyFont="1" applyFill="1" applyBorder="1" applyAlignment="1">
      <alignment horizontal="right"/>
    </xf>
    <xf numFmtId="0" fontId="4" fillId="3" borderId="15" xfId="1" applyNumberFormat="1" applyFont="1" applyFill="1" applyBorder="1"/>
    <xf numFmtId="0" fontId="4" fillId="11" borderId="15" xfId="1" applyNumberFormat="1" applyFont="1" applyFill="1" applyBorder="1"/>
    <xf numFmtId="0" fontId="2" fillId="3" borderId="6" xfId="0" applyFont="1" applyFill="1" applyBorder="1"/>
    <xf numFmtId="9" fontId="2" fillId="3" borderId="8" xfId="1" applyFont="1" applyFill="1" applyBorder="1"/>
    <xf numFmtId="0" fontId="9" fillId="3" borderId="4" xfId="4" applyFill="1" applyBorder="1"/>
    <xf numFmtId="0" fontId="9" fillId="3" borderId="0" xfId="4" applyFill="1" applyBorder="1"/>
    <xf numFmtId="0" fontId="7" fillId="3" borderId="6" xfId="2" applyFont="1" applyFill="1" applyBorder="1"/>
    <xf numFmtId="0" fontId="9" fillId="3" borderId="0" xfId="4" applyFill="1"/>
    <xf numFmtId="0" fontId="4" fillId="3" borderId="0" xfId="2" applyFill="1"/>
    <xf numFmtId="0" fontId="0" fillId="10" borderId="0" xfId="0" applyFill="1"/>
    <xf numFmtId="0" fontId="4" fillId="4" borderId="0" xfId="2" applyFill="1"/>
    <xf numFmtId="0" fontId="6" fillId="3" borderId="2" xfId="4" applyFont="1" applyFill="1" applyBorder="1"/>
    <xf numFmtId="0" fontId="0" fillId="4" borderId="9" xfId="0" applyFill="1" applyBorder="1"/>
    <xf numFmtId="0" fontId="0" fillId="5" borderId="5" xfId="0" applyFill="1" applyBorder="1"/>
    <xf numFmtId="9" fontId="4" fillId="5" borderId="5" xfId="1" applyFont="1" applyFill="1" applyBorder="1"/>
    <xf numFmtId="9" fontId="4" fillId="5" borderId="19" xfId="1" applyFont="1" applyFill="1" applyBorder="1"/>
    <xf numFmtId="0" fontId="6" fillId="10" borderId="12" xfId="2" applyFont="1" applyFill="1" applyBorder="1"/>
    <xf numFmtId="0" fontId="3" fillId="0" borderId="3" xfId="0" applyFont="1" applyBorder="1"/>
    <xf numFmtId="0" fontId="7" fillId="0" borderId="0" xfId="2" applyFont="1" applyBorder="1"/>
    <xf numFmtId="0" fontId="4" fillId="8" borderId="15" xfId="1" applyNumberFormat="1" applyFont="1" applyFill="1" applyBorder="1" applyAlignment="1">
      <alignment horizontal="right"/>
    </xf>
    <xf numFmtId="9" fontId="1" fillId="3" borderId="0" xfId="1" applyFont="1" applyFill="1" applyBorder="1" applyAlignment="1">
      <alignment horizontal="right"/>
    </xf>
    <xf numFmtId="10" fontId="4" fillId="0" borderId="0" xfId="2" applyNumberFormat="1" applyFill="1" applyBorder="1"/>
    <xf numFmtId="0" fontId="4" fillId="3" borderId="12" xfId="2" applyFill="1" applyBorder="1"/>
    <xf numFmtId="0" fontId="4" fillId="2" borderId="12" xfId="2" applyFill="1" applyBorder="1"/>
    <xf numFmtId="0" fontId="4" fillId="4" borderId="12" xfId="2" applyFill="1" applyBorder="1"/>
    <xf numFmtId="9" fontId="4" fillId="4" borderId="12" xfId="1" applyFont="1" applyFill="1" applyBorder="1"/>
    <xf numFmtId="0" fontId="0" fillId="2" borderId="12" xfId="0" applyFill="1" applyBorder="1"/>
    <xf numFmtId="0" fontId="4" fillId="5" borderId="10" xfId="3" applyFill="1" applyBorder="1"/>
    <xf numFmtId="0" fontId="4" fillId="5" borderId="12" xfId="3" applyFill="1" applyBorder="1"/>
    <xf numFmtId="9" fontId="4" fillId="5" borderId="12" xfId="1" applyFont="1" applyFill="1" applyBorder="1"/>
    <xf numFmtId="0" fontId="0" fillId="13" borderId="13" xfId="0" applyFill="1" applyBorder="1"/>
    <xf numFmtId="0" fontId="4" fillId="3" borderId="14" xfId="2" applyFill="1" applyBorder="1"/>
    <xf numFmtId="9" fontId="4" fillId="3" borderId="14" xfId="1" applyFont="1" applyFill="1" applyBorder="1"/>
    <xf numFmtId="9" fontId="4" fillId="2" borderId="14" xfId="1" applyFont="1" applyFill="1" applyBorder="1"/>
    <xf numFmtId="0" fontId="4" fillId="4" borderId="14" xfId="2" applyFill="1" applyBorder="1"/>
    <xf numFmtId="9" fontId="4" fillId="4" borderId="14" xfId="1" applyFont="1" applyFill="1" applyBorder="1"/>
    <xf numFmtId="0" fontId="0" fillId="2" borderId="14" xfId="0" applyFill="1" applyBorder="1"/>
    <xf numFmtId="9" fontId="4" fillId="0" borderId="0" xfId="1" applyFont="1" applyFill="1" applyBorder="1"/>
    <xf numFmtId="0" fontId="0" fillId="0" borderId="5" xfId="0" applyFill="1" applyBorder="1"/>
    <xf numFmtId="0" fontId="4" fillId="0" borderId="3" xfId="3" applyFill="1" applyBorder="1"/>
    <xf numFmtId="9" fontId="4" fillId="0" borderId="5" xfId="1" applyFont="1" applyFill="1" applyBorder="1"/>
    <xf numFmtId="0" fontId="5" fillId="13" borderId="14" xfId="0" applyFont="1" applyFill="1" applyBorder="1"/>
    <xf numFmtId="0" fontId="9" fillId="3" borderId="14" xfId="4" applyFill="1" applyBorder="1"/>
    <xf numFmtId="0" fontId="4" fillId="2" borderId="14" xfId="2" applyFill="1" applyBorder="1"/>
    <xf numFmtId="0" fontId="5" fillId="0" borderId="1" xfId="0" applyFont="1" applyFill="1" applyBorder="1"/>
    <xf numFmtId="0" fontId="0" fillId="0" borderId="9" xfId="0" applyFill="1" applyBorder="1"/>
    <xf numFmtId="0" fontId="4" fillId="0" borderId="2" xfId="2" applyFill="1" applyBorder="1"/>
    <xf numFmtId="9" fontId="4" fillId="5" borderId="9" xfId="1" applyFont="1" applyFill="1" applyBorder="1"/>
    <xf numFmtId="0" fontId="4" fillId="4" borderId="2" xfId="2" applyFill="1" applyBorder="1"/>
    <xf numFmtId="0" fontId="4" fillId="3" borderId="2" xfId="2" applyFill="1" applyBorder="1"/>
    <xf numFmtId="0" fontId="0" fillId="0" borderId="14" xfId="0" applyBorder="1"/>
    <xf numFmtId="9" fontId="4" fillId="5" borderId="25" xfId="1" applyFont="1" applyFill="1" applyBorder="1"/>
    <xf numFmtId="9" fontId="4" fillId="5" borderId="26" xfId="1" applyFont="1" applyFill="1" applyBorder="1"/>
    <xf numFmtId="0" fontId="2" fillId="6" borderId="24" xfId="0" applyFont="1" applyFill="1" applyBorder="1"/>
    <xf numFmtId="0" fontId="2" fillId="6" borderId="10" xfId="0" applyFont="1" applyFill="1" applyBorder="1"/>
    <xf numFmtId="0" fontId="2" fillId="6" borderId="11" xfId="0" applyFont="1" applyFill="1" applyBorder="1"/>
    <xf numFmtId="0" fontId="2" fillId="6" borderId="13" xfId="0" applyFont="1" applyFill="1" applyBorder="1"/>
    <xf numFmtId="0" fontId="2" fillId="6" borderId="19" xfId="0" applyFont="1" applyFill="1" applyBorder="1"/>
    <xf numFmtId="0" fontId="4" fillId="0" borderId="14" xfId="2" applyFill="1" applyBorder="1"/>
    <xf numFmtId="9" fontId="4" fillId="0" borderId="14" xfId="1" applyFont="1" applyFill="1" applyBorder="1"/>
    <xf numFmtId="0" fontId="0" fillId="0" borderId="14" xfId="0" applyFill="1" applyBorder="1"/>
    <xf numFmtId="0" fontId="4" fillId="0" borderId="14" xfId="3" applyFill="1" applyBorder="1"/>
    <xf numFmtId="9" fontId="4" fillId="0" borderId="26" xfId="1" applyFont="1" applyFill="1" applyBorder="1"/>
    <xf numFmtId="0" fontId="4" fillId="0" borderId="0" xfId="4" applyFont="1"/>
    <xf numFmtId="0" fontId="4" fillId="3" borderId="4" xfId="4" applyFont="1" applyFill="1" applyBorder="1"/>
    <xf numFmtId="0" fontId="4" fillId="3" borderId="0" xfId="4" applyFont="1" applyFill="1" applyBorder="1"/>
    <xf numFmtId="9" fontId="4" fillId="3" borderId="0" xfId="2" applyNumberFormat="1" applyFont="1" applyFill="1" applyBorder="1"/>
    <xf numFmtId="9" fontId="4" fillId="3" borderId="14" xfId="2" applyNumberFormat="1" applyFill="1" applyBorder="1"/>
    <xf numFmtId="9" fontId="6" fillId="3" borderId="2" xfId="2" applyNumberFormat="1" applyFont="1" applyFill="1" applyBorder="1"/>
    <xf numFmtId="9" fontId="6" fillId="4" borderId="2" xfId="1" applyFont="1" applyFill="1" applyBorder="1"/>
    <xf numFmtId="0" fontId="2" fillId="0" borderId="2" xfId="0" applyFont="1" applyFill="1" applyBorder="1"/>
    <xf numFmtId="0" fontId="6" fillId="5" borderId="1" xfId="3" applyFont="1" applyFill="1" applyBorder="1"/>
    <xf numFmtId="0" fontId="6" fillId="5" borderId="2" xfId="3" applyFont="1" applyFill="1" applyBorder="1"/>
    <xf numFmtId="9" fontId="6" fillId="5" borderId="2" xfId="1" applyFont="1" applyFill="1" applyBorder="1"/>
    <xf numFmtId="0" fontId="4" fillId="4" borderId="0" xfId="2" applyFont="1" applyFill="1"/>
    <xf numFmtId="9" fontId="5" fillId="4" borderId="0" xfId="1" applyFont="1" applyFill="1" applyBorder="1"/>
    <xf numFmtId="0" fontId="0" fillId="0" borderId="0" xfId="0" applyFont="1" applyFill="1" applyBorder="1"/>
    <xf numFmtId="9" fontId="1" fillId="0" borderId="0" xfId="1" applyFont="1" applyFill="1" applyBorder="1"/>
    <xf numFmtId="9" fontId="4" fillId="3" borderId="12" xfId="2" applyNumberFormat="1" applyFill="1" applyBorder="1"/>
    <xf numFmtId="0" fontId="4" fillId="3" borderId="25" xfId="2" applyFill="1" applyBorder="1"/>
    <xf numFmtId="0" fontId="4" fillId="3" borderId="14" xfId="2" applyFont="1" applyFill="1" applyBorder="1"/>
    <xf numFmtId="9" fontId="1" fillId="3" borderId="14" xfId="1" applyFont="1" applyFill="1" applyBorder="1"/>
    <xf numFmtId="9" fontId="1" fillId="3" borderId="26" xfId="1" applyFont="1" applyFill="1" applyBorder="1"/>
    <xf numFmtId="0" fontId="4" fillId="5" borderId="10" xfId="2" applyFill="1" applyBorder="1"/>
    <xf numFmtId="0" fontId="4" fillId="5" borderId="12" xfId="2" applyFill="1" applyBorder="1"/>
    <xf numFmtId="9" fontId="1" fillId="5" borderId="25" xfId="1" applyFont="1" applyFill="1" applyBorder="1"/>
    <xf numFmtId="9" fontId="4" fillId="5" borderId="15" xfId="1" applyFont="1" applyFill="1" applyBorder="1"/>
    <xf numFmtId="9" fontId="1" fillId="5" borderId="15" xfId="1" applyFont="1" applyFill="1" applyBorder="1"/>
    <xf numFmtId="0" fontId="0" fillId="5" borderId="13" xfId="0" applyFill="1" applyBorder="1"/>
    <xf numFmtId="9" fontId="1" fillId="5" borderId="26" xfId="1" applyFont="1" applyFill="1" applyBorder="1"/>
    <xf numFmtId="9" fontId="0" fillId="4" borderId="14" xfId="1" applyFont="1" applyFill="1" applyBorder="1"/>
    <xf numFmtId="0" fontId="2" fillId="6" borderId="3" xfId="0" applyFont="1" applyFill="1" applyBorder="1"/>
    <xf numFmtId="0" fontId="2" fillId="6" borderId="5" xfId="0" applyFont="1" applyFill="1" applyBorder="1"/>
    <xf numFmtId="0" fontId="0" fillId="4" borderId="7" xfId="0" applyFill="1" applyBorder="1"/>
    <xf numFmtId="0" fontId="2" fillId="4" borderId="7" xfId="0" applyFont="1" applyFill="1" applyBorder="1"/>
    <xf numFmtId="0" fontId="6" fillId="10" borderId="10" xfId="2" applyFont="1" applyFill="1" applyBorder="1"/>
    <xf numFmtId="0" fontId="2" fillId="10" borderId="11" xfId="0" applyFont="1" applyFill="1" applyBorder="1"/>
    <xf numFmtId="0" fontId="6" fillId="4" borderId="27" xfId="2" applyFont="1" applyFill="1" applyBorder="1"/>
    <xf numFmtId="0" fontId="6" fillId="4" borderId="21" xfId="2" applyFont="1" applyFill="1" applyBorder="1"/>
    <xf numFmtId="0" fontId="2" fillId="4" borderId="21" xfId="0" applyFont="1" applyFill="1" applyBorder="1"/>
    <xf numFmtId="0" fontId="2" fillId="4" borderId="28" xfId="0" applyFont="1" applyFill="1" applyBorder="1"/>
    <xf numFmtId="0" fontId="2" fillId="10" borderId="11" xfId="1" applyNumberFormat="1" applyFont="1" applyFill="1" applyBorder="1"/>
    <xf numFmtId="0" fontId="2" fillId="4" borderId="27" xfId="0" applyFont="1" applyFill="1" applyBorder="1"/>
    <xf numFmtId="0" fontId="2" fillId="4" borderId="28" xfId="1" applyNumberFormat="1" applyFont="1" applyFill="1" applyBorder="1" applyAlignment="1">
      <alignment horizontal="right"/>
    </xf>
    <xf numFmtId="0" fontId="2" fillId="5" borderId="10" xfId="0" applyFont="1" applyFill="1" applyBorder="1"/>
    <xf numFmtId="9" fontId="0" fillId="4" borderId="2" xfId="1" applyFont="1" applyFill="1" applyBorder="1"/>
    <xf numFmtId="0" fontId="3" fillId="5" borderId="11" xfId="0" applyFont="1" applyFill="1" applyBorder="1"/>
    <xf numFmtId="0" fontId="0" fillId="5" borderId="11" xfId="0" applyFill="1" applyBorder="1"/>
    <xf numFmtId="0" fontId="4" fillId="3" borderId="10" xfId="2" applyFill="1" applyBorder="1"/>
    <xf numFmtId="0" fontId="4" fillId="3" borderId="13" xfId="2" applyFill="1" applyBorder="1"/>
    <xf numFmtId="0" fontId="4" fillId="6" borderId="2" xfId="2" applyFill="1" applyBorder="1"/>
    <xf numFmtId="0" fontId="2" fillId="3" borderId="11" xfId="0" applyFont="1" applyFill="1" applyBorder="1"/>
    <xf numFmtId="0" fontId="3" fillId="0" borderId="6" xfId="0" applyFont="1" applyFill="1" applyBorder="1"/>
    <xf numFmtId="0" fontId="7" fillId="0" borderId="7" xfId="2" applyFont="1" applyFill="1" applyBorder="1"/>
    <xf numFmtId="0" fontId="0" fillId="11" borderId="15" xfId="1" applyNumberFormat="1" applyFont="1" applyFill="1" applyBorder="1"/>
    <xf numFmtId="0" fontId="4" fillId="11" borderId="15" xfId="2" applyNumberFormat="1" applyFill="1" applyBorder="1"/>
    <xf numFmtId="10" fontId="2" fillId="3" borderId="25" xfId="0" applyNumberFormat="1" applyFont="1" applyFill="1" applyBorder="1"/>
    <xf numFmtId="10" fontId="2" fillId="3" borderId="24" xfId="1" applyNumberFormat="1" applyFont="1" applyFill="1" applyBorder="1" applyAlignment="1">
      <alignment horizontal="right"/>
    </xf>
    <xf numFmtId="9" fontId="0" fillId="3" borderId="15" xfId="1" applyFont="1" applyFill="1" applyBorder="1"/>
    <xf numFmtId="9" fontId="0" fillId="3" borderId="26" xfId="1" applyFont="1" applyFill="1" applyBorder="1"/>
    <xf numFmtId="9" fontId="0" fillId="3" borderId="24" xfId="1" applyFont="1" applyFill="1" applyBorder="1"/>
    <xf numFmtId="9" fontId="0" fillId="5" borderId="5" xfId="1" applyFont="1" applyFill="1" applyBorder="1"/>
    <xf numFmtId="9" fontId="0" fillId="5" borderId="19" xfId="1" applyFont="1" applyFill="1" applyBorder="1"/>
    <xf numFmtId="9" fontId="4" fillId="3" borderId="5" xfId="2" applyNumberFormat="1" applyFill="1" applyBorder="1"/>
    <xf numFmtId="9" fontId="4" fillId="3" borderId="19" xfId="2" applyNumberFormat="1" applyFill="1" applyBorder="1"/>
    <xf numFmtId="9" fontId="6" fillId="3" borderId="9" xfId="2" applyNumberFormat="1" applyFont="1" applyFill="1" applyBorder="1"/>
    <xf numFmtId="9" fontId="2" fillId="3" borderId="19" xfId="0" applyNumberFormat="1" applyFont="1" applyFill="1" applyBorder="1"/>
    <xf numFmtId="9" fontId="4" fillId="3" borderId="11" xfId="2" applyNumberFormat="1" applyFill="1" applyBorder="1"/>
    <xf numFmtId="0" fontId="2" fillId="4" borderId="0" xfId="0" applyFont="1" applyFill="1" applyBorder="1" applyAlignment="1">
      <alignment horizontal="right"/>
    </xf>
    <xf numFmtId="0" fontId="2" fillId="5" borderId="3" xfId="0" applyFont="1" applyFill="1" applyBorder="1"/>
    <xf numFmtId="0" fontId="2" fillId="5" borderId="0" xfId="0" applyFont="1" applyFill="1" applyBorder="1" applyAlignment="1">
      <alignment horizontal="right"/>
    </xf>
    <xf numFmtId="9" fontId="2" fillId="5" borderId="0" xfId="1" applyFont="1" applyFill="1" applyBorder="1" applyAlignment="1">
      <alignment horizontal="right"/>
    </xf>
    <xf numFmtId="0" fontId="0" fillId="0" borderId="25" xfId="0" applyFill="1" applyBorder="1"/>
    <xf numFmtId="0" fontId="0" fillId="3" borderId="0" xfId="0" applyFont="1" applyFill="1" applyBorder="1"/>
    <xf numFmtId="0" fontId="0" fillId="3" borderId="0" xfId="0" applyFont="1" applyFill="1" applyBorder="1" applyAlignment="1">
      <alignment horizontal="right"/>
    </xf>
    <xf numFmtId="0" fontId="4" fillId="0" borderId="3" xfId="2" applyFill="1" applyBorder="1"/>
    <xf numFmtId="0" fontId="4" fillId="0" borderId="13" xfId="2" applyFill="1" applyBorder="1"/>
  </cellXfs>
  <cellStyles count="5">
    <cellStyle name="Normal" xfId="0" builtinId="0"/>
    <cellStyle name="Normal 2" xfId="2"/>
    <cellStyle name="Normal 3"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17</xdr:col>
      <xdr:colOff>19050</xdr:colOff>
      <xdr:row>2</xdr:row>
      <xdr:rowOff>66675</xdr:rowOff>
    </xdr:from>
    <xdr:ext cx="5095875" cy="646336"/>
    <xdr:sp macro="" textlink="">
      <xdr:nvSpPr>
        <xdr:cNvPr id="4" name="TextBox 3"/>
        <xdr:cNvSpPr txBox="1"/>
      </xdr:nvSpPr>
      <xdr:spPr>
        <a:xfrm>
          <a:off x="9810750" y="457200"/>
          <a:ext cx="5095875" cy="646336"/>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b-NO" sz="1100" b="1"/>
            <a:t>Høsten 2021 var det nesten like mange som møtte til eksamen på rettstudiet</a:t>
          </a:r>
          <a:r>
            <a:rPr lang="nb-NO" sz="1100" b="1" baseline="0"/>
            <a:t> og valgemner som høsten 2020, og langt flere enn høsten 2019</a:t>
          </a:r>
          <a:endParaRPr lang="nb-NO" sz="1100" b="1"/>
        </a:p>
      </xdr:txBody>
    </xdr:sp>
    <xdr:clientData/>
  </xdr:oneCellAnchor>
  <xdr:oneCellAnchor>
    <xdr:from>
      <xdr:col>16</xdr:col>
      <xdr:colOff>514350</xdr:colOff>
      <xdr:row>13</xdr:row>
      <xdr:rowOff>123824</xdr:rowOff>
    </xdr:from>
    <xdr:ext cx="5410200" cy="264560"/>
    <xdr:sp macro="" textlink="">
      <xdr:nvSpPr>
        <xdr:cNvPr id="5" name="TextBox 4"/>
        <xdr:cNvSpPr txBox="1"/>
      </xdr:nvSpPr>
      <xdr:spPr>
        <a:xfrm>
          <a:off x="9696450" y="2628899"/>
          <a:ext cx="54102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nb-NO" sz="1100"/>
        </a:p>
      </xdr:txBody>
    </xdr:sp>
    <xdr:clientData/>
  </xdr:oneCellAnchor>
  <xdr:twoCellAnchor>
    <xdr:from>
      <xdr:col>17</xdr:col>
      <xdr:colOff>19050</xdr:colOff>
      <xdr:row>7</xdr:row>
      <xdr:rowOff>47625</xdr:rowOff>
    </xdr:from>
    <xdr:to>
      <xdr:col>25</xdr:col>
      <xdr:colOff>304800</xdr:colOff>
      <xdr:row>23</xdr:row>
      <xdr:rowOff>171450</xdr:rowOff>
    </xdr:to>
    <xdr:sp macro="" textlink="">
      <xdr:nvSpPr>
        <xdr:cNvPr id="6" name="TextBox 5"/>
        <xdr:cNvSpPr txBox="1"/>
      </xdr:nvSpPr>
      <xdr:spPr>
        <a:xfrm>
          <a:off x="9810750" y="1409700"/>
          <a:ext cx="5162550" cy="3171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Studieår:</a:t>
          </a:r>
          <a:r>
            <a:rPr lang="nb-NO" sz="1100" b="1" baseline="0"/>
            <a:t> </a:t>
          </a:r>
          <a:r>
            <a:rPr lang="nb-NO" sz="1100" b="0"/>
            <a:t>På studieårene var det høsten 2021 en økning</a:t>
          </a:r>
          <a:r>
            <a:rPr lang="nb-NO" sz="1100" b="0" baseline="0"/>
            <a:t> av antall kandidater som møtte til eksamen sammenlignet med høsten 2020 og 2019.</a:t>
          </a:r>
        </a:p>
        <a:p>
          <a:endParaRPr lang="nb-NO" sz="1100" b="0" baseline="0"/>
        </a:p>
        <a:p>
          <a:endParaRPr lang="nb-NO" sz="1100" b="1" baseline="0"/>
        </a:p>
        <a:p>
          <a:r>
            <a:rPr lang="nb-NO" sz="1100" b="1" baseline="0"/>
            <a:t>Gjentak: </a:t>
          </a:r>
          <a:r>
            <a:rPr lang="nb-NO" sz="1100" b="0" baseline="0"/>
            <a:t>Det er de samme emnene vi ser utmerker seg hva gjelder gjentak (særlig JUS4211, mens gjentakene har økt på JUS4111 og på 2. studieår (siden 2019)</a:t>
          </a:r>
        </a:p>
        <a:p>
          <a:endParaRPr lang="nb-NO" sz="1100" b="0" baseline="0"/>
        </a:p>
        <a:p>
          <a:r>
            <a:rPr lang="nb-NO" sz="1100" b="0" baseline="0"/>
            <a:t>På 3. studieår er gjentakstallene ekstremt høye, det er helt etter intensjonen da det er utgående emner ment for gjentakstudenter. Først når overgangsordniningen er over på 3. studieår vil vil kunne ha relle gjentakstall. Det er særlig spennende å se om omleggingen på 3. studieår har påvirket JUS3111 som tidligere har hatt høye gjentakstall.</a:t>
          </a:r>
        </a:p>
        <a:p>
          <a:endParaRPr lang="nb-NO" sz="1100" b="0" baseline="0"/>
        </a:p>
        <a:p>
          <a:endParaRPr lang="nb-NO" sz="1100" b="0" baseline="0"/>
        </a:p>
        <a:p>
          <a:r>
            <a:rPr lang="nb-NO" sz="1100" b="1" baseline="0"/>
            <a:t>Valgemner: </a:t>
          </a:r>
          <a:r>
            <a:rPr lang="nb-NO" sz="1100" b="0" baseline="0"/>
            <a:t>Det er generelt en nedgang i antall møtte på valgemner høsten 2021 sammenlignet med høsten 2020, men økning fra høsten 2019</a:t>
          </a:r>
          <a:endParaRPr lang="nb-NO" sz="1100" b="0"/>
        </a:p>
      </xdr:txBody>
    </xdr:sp>
    <xdr:clientData/>
  </xdr:twoCellAnchor>
  <xdr:twoCellAnchor>
    <xdr:from>
      <xdr:col>17</xdr:col>
      <xdr:colOff>38100</xdr:colOff>
      <xdr:row>26</xdr:row>
      <xdr:rowOff>9524</xdr:rowOff>
    </xdr:from>
    <xdr:to>
      <xdr:col>25</xdr:col>
      <xdr:colOff>361950</xdr:colOff>
      <xdr:row>35</xdr:row>
      <xdr:rowOff>9525</xdr:rowOff>
    </xdr:to>
    <xdr:sp macro="" textlink="">
      <xdr:nvSpPr>
        <xdr:cNvPr id="7" name="TextBox 6"/>
        <xdr:cNvSpPr txBox="1"/>
      </xdr:nvSpPr>
      <xdr:spPr>
        <a:xfrm>
          <a:off x="9829800" y="5010149"/>
          <a:ext cx="5200650" cy="1543051"/>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Valgemner ba-nivå: </a:t>
          </a:r>
          <a:r>
            <a:rPr lang="nb-NO" sz="1100" b="0"/>
            <a:t>Det er noe økning</a:t>
          </a:r>
          <a:r>
            <a:rPr lang="nb-NO" sz="1100" b="0" baseline="0"/>
            <a:t> i antall møtte kandidater på valgember på ba-nivå. Det er de engelske emnene som trekker opp. </a:t>
          </a:r>
        </a:p>
        <a:p>
          <a:endParaRPr lang="nb-NO" sz="1100" b="0" baseline="0"/>
        </a:p>
        <a:p>
          <a:r>
            <a:rPr lang="nb-NO" sz="1100" b="1" baseline="0"/>
            <a:t>Engelske valgemner ba:  </a:t>
          </a:r>
          <a:r>
            <a:rPr lang="nb-NO" sz="1100" b="0" baseline="0"/>
            <a:t>det har vært en økning av møtte kandidater høsten 2021, sammenlignet med høsten 2020, og noe høyere enn høsten 2019.</a:t>
          </a:r>
        </a:p>
        <a:p>
          <a:endParaRPr lang="nb-NO" sz="1100" b="1" baseline="0"/>
        </a:p>
        <a:p>
          <a:r>
            <a:rPr lang="nb-NO" sz="1100" b="1" baseline="0"/>
            <a:t>Norske valgemner ba: </a:t>
          </a:r>
          <a:r>
            <a:rPr lang="nb-NO" sz="1100" b="0" baseline="0"/>
            <a:t>En nedgang på antall møtte kandidater høsten 2021 sammenlignet med høsten 2020, men en økning fra høsten 2019. </a:t>
          </a:r>
          <a:endParaRPr lang="nb-NO" sz="1100" b="1"/>
        </a:p>
      </xdr:txBody>
    </xdr:sp>
    <xdr:clientData/>
  </xdr:twoCellAnchor>
  <xdr:twoCellAnchor>
    <xdr:from>
      <xdr:col>17</xdr:col>
      <xdr:colOff>19050</xdr:colOff>
      <xdr:row>41</xdr:row>
      <xdr:rowOff>66674</xdr:rowOff>
    </xdr:from>
    <xdr:to>
      <xdr:col>26</xdr:col>
      <xdr:colOff>228600</xdr:colOff>
      <xdr:row>54</xdr:row>
      <xdr:rowOff>63499</xdr:rowOff>
    </xdr:to>
    <xdr:sp macro="" textlink="">
      <xdr:nvSpPr>
        <xdr:cNvPr id="8" name="TextBox 7"/>
        <xdr:cNvSpPr txBox="1"/>
      </xdr:nvSpPr>
      <xdr:spPr>
        <a:xfrm>
          <a:off x="9874250" y="7667624"/>
          <a:ext cx="5695950" cy="24288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Valgemner ma-nivå</a:t>
          </a:r>
          <a:r>
            <a:rPr lang="nb-NO" sz="1100" b="1" baseline="0"/>
            <a:t>: </a:t>
          </a:r>
          <a:r>
            <a:rPr lang="nb-NO" sz="1100" b="0" baseline="0"/>
            <a:t>Det har vært en nedgang i antall møtte kandidater høsten 2021 sammenlignet med høsten 2020, men noe høyere enn høsten 2019. </a:t>
          </a:r>
        </a:p>
        <a:p>
          <a:r>
            <a:rPr lang="nb-NO" sz="1100" b="0" baseline="0"/>
            <a:t>Det er nedgang på både norske og engelske emner, men aller høyest på de norske. </a:t>
          </a:r>
        </a:p>
        <a:p>
          <a:endParaRPr lang="nb-NO" sz="1100" b="0" baseline="0"/>
        </a:p>
        <a:p>
          <a:r>
            <a:rPr lang="nb-NO" sz="1100" b="1" baseline="0"/>
            <a:t>Norske valgemner ma: </a:t>
          </a:r>
          <a:r>
            <a:rPr lang="nb-NO" sz="1100" b="0" baseline="0"/>
            <a:t>det har vært en stor nedgang i antall møtte siden høsten 2021, men en liten økning fra høsten 2019</a:t>
          </a:r>
          <a:endParaRPr lang="nb-NO" sz="1100" b="1" baseline="0"/>
        </a:p>
        <a:p>
          <a:endParaRPr lang="nb-NO" sz="1100" b="1" baseline="0"/>
        </a:p>
        <a:p>
          <a:r>
            <a:rPr lang="nb-NO" sz="1100" b="1" baseline="0"/>
            <a:t>Engelske valgemner ma: </a:t>
          </a:r>
          <a:r>
            <a:rPr lang="nb-NO" sz="1100" b="0" baseline="0"/>
            <a:t>tallene er mer like for de engelske emnene, men det er likevel en nedgang fra høsten 2020 og en liten økning fra høsten 2019. </a:t>
          </a:r>
        </a:p>
        <a:p>
          <a:endParaRPr lang="nb-NO" sz="1100" b="0" baseline="0"/>
        </a:p>
        <a:p>
          <a:r>
            <a:rPr lang="nb-NO" sz="1100" b="0" baseline="0"/>
            <a:t>Noen emner legges ned, noen emner går annethvert år og noen emner flytter semester, dette kan påvirke tallene</a:t>
          </a:r>
        </a:p>
        <a:p>
          <a:endParaRPr lang="nb-NO"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tabSelected="1" topLeftCell="A77" zoomScaleNormal="100" workbookViewId="0">
      <selection activeCell="B32" sqref="B32"/>
    </sheetView>
  </sheetViews>
  <sheetFormatPr defaultRowHeight="14.5"/>
  <cols>
    <col min="2" max="2" width="18" customWidth="1"/>
    <col min="7" max="7" width="0.453125" customWidth="1"/>
    <col min="12" max="12" width="0.453125" customWidth="1"/>
  </cols>
  <sheetData>
    <row r="1" spans="1:16">
      <c r="A1" s="1" t="s">
        <v>0</v>
      </c>
      <c r="G1" s="2"/>
    </row>
    <row r="2" spans="1:16" ht="15" thickBot="1">
      <c r="G2" s="3"/>
    </row>
    <row r="3" spans="1:16" ht="15" thickBot="1">
      <c r="A3" s="4" t="s">
        <v>1</v>
      </c>
      <c r="B3" s="4" t="s">
        <v>2</v>
      </c>
      <c r="C3" s="237"/>
      <c r="D3" s="238" t="s">
        <v>57</v>
      </c>
      <c r="E3" s="239"/>
      <c r="F3" s="240"/>
      <c r="G3" s="7"/>
      <c r="H3" s="8"/>
      <c r="I3" s="9" t="s">
        <v>58</v>
      </c>
      <c r="J3" s="10"/>
      <c r="K3" s="10"/>
      <c r="L3" s="11"/>
      <c r="M3" s="12"/>
      <c r="N3" s="13" t="s">
        <v>59</v>
      </c>
      <c r="O3" s="14"/>
      <c r="P3" s="121"/>
    </row>
    <row r="4" spans="1:16" ht="15" thickBot="1">
      <c r="A4" s="15" t="s">
        <v>3</v>
      </c>
      <c r="B4" s="16"/>
      <c r="C4" s="241" t="s">
        <v>4</v>
      </c>
      <c r="D4" s="18" t="s">
        <v>5</v>
      </c>
      <c r="E4" s="19" t="s">
        <v>6</v>
      </c>
      <c r="F4" s="242" t="s">
        <v>7</v>
      </c>
      <c r="G4" s="20"/>
      <c r="H4" s="21" t="s">
        <v>4</v>
      </c>
      <c r="I4" s="22" t="s">
        <v>5</v>
      </c>
      <c r="J4" s="23" t="s">
        <v>6</v>
      </c>
      <c r="K4" s="23" t="s">
        <v>8</v>
      </c>
      <c r="L4" s="11"/>
      <c r="M4" s="24" t="s">
        <v>4</v>
      </c>
      <c r="N4" s="25" t="s">
        <v>5</v>
      </c>
      <c r="O4" s="26" t="s">
        <v>6</v>
      </c>
      <c r="P4" s="145" t="s">
        <v>8</v>
      </c>
    </row>
    <row r="5" spans="1:16">
      <c r="A5" s="29" t="s">
        <v>9</v>
      </c>
      <c r="B5" s="30" t="s">
        <v>10</v>
      </c>
      <c r="C5" s="250">
        <v>222</v>
      </c>
      <c r="D5" s="251">
        <v>218</v>
      </c>
      <c r="E5" s="33">
        <f>218/222</f>
        <v>0.98198198198198194</v>
      </c>
      <c r="F5" s="243">
        <v>0</v>
      </c>
      <c r="G5" s="34"/>
      <c r="H5" s="158">
        <v>208</v>
      </c>
      <c r="I5" s="137">
        <v>189</v>
      </c>
      <c r="J5" s="154">
        <f>189/208</f>
        <v>0.90865384615384615</v>
      </c>
      <c r="K5" s="139">
        <v>2.4</v>
      </c>
      <c r="L5" s="38"/>
      <c r="M5" s="52">
        <v>254</v>
      </c>
      <c r="N5" s="52">
        <v>220</v>
      </c>
      <c r="O5" s="40">
        <f>220/254</f>
        <v>0.86614173228346458</v>
      </c>
      <c r="P5" s="146">
        <v>4.3</v>
      </c>
    </row>
    <row r="6" spans="1:16">
      <c r="A6" s="29" t="s">
        <v>11</v>
      </c>
      <c r="B6" s="30" t="s">
        <v>12</v>
      </c>
      <c r="C6" s="250">
        <v>219</v>
      </c>
      <c r="D6" s="251">
        <v>201</v>
      </c>
      <c r="E6" s="33">
        <f>201/219</f>
        <v>0.9178082191780822</v>
      </c>
      <c r="F6" s="243">
        <v>4.5999999999999996</v>
      </c>
      <c r="G6" s="34"/>
      <c r="H6" s="158">
        <v>228</v>
      </c>
      <c r="I6" s="137">
        <v>216</v>
      </c>
      <c r="J6" s="154">
        <f>216/228</f>
        <v>0.94736842105263153</v>
      </c>
      <c r="K6" s="139">
        <v>8.8000000000000007</v>
      </c>
      <c r="L6" s="38"/>
      <c r="M6" s="52">
        <v>221</v>
      </c>
      <c r="N6" s="52">
        <v>208</v>
      </c>
      <c r="O6" s="40">
        <f>208/221</f>
        <v>0.94117647058823528</v>
      </c>
      <c r="P6" s="146">
        <v>10.9</v>
      </c>
    </row>
    <row r="7" spans="1:16">
      <c r="A7" s="29"/>
      <c r="B7" s="30"/>
      <c r="C7" s="31"/>
      <c r="D7" s="32"/>
      <c r="E7" s="33"/>
      <c r="F7" s="243"/>
      <c r="G7" s="34"/>
      <c r="H7" s="158"/>
      <c r="I7" s="137"/>
      <c r="J7" s="154"/>
      <c r="K7" s="139"/>
      <c r="L7" s="38"/>
      <c r="M7" s="39"/>
      <c r="N7" s="39"/>
      <c r="O7" s="40"/>
      <c r="P7" s="146"/>
    </row>
    <row r="8" spans="1:16">
      <c r="A8" s="29" t="s">
        <v>13</v>
      </c>
      <c r="B8" s="41" t="s">
        <v>14</v>
      </c>
      <c r="C8" s="250">
        <v>209</v>
      </c>
      <c r="D8" s="251">
        <v>200</v>
      </c>
      <c r="E8" s="33">
        <f>200/209</f>
        <v>0.9569377990430622</v>
      </c>
      <c r="F8" s="360">
        <v>12</v>
      </c>
      <c r="G8" s="34"/>
      <c r="H8" s="159">
        <v>217</v>
      </c>
      <c r="I8" s="155">
        <v>209</v>
      </c>
      <c r="J8" s="154">
        <f>209/217</f>
        <v>0.96313364055299544</v>
      </c>
      <c r="K8" s="45">
        <v>15.2</v>
      </c>
      <c r="L8" s="38"/>
      <c r="M8" s="52">
        <v>190</v>
      </c>
      <c r="N8" s="52">
        <v>186</v>
      </c>
      <c r="O8" s="40">
        <f>186/190</f>
        <v>0.97894736842105268</v>
      </c>
      <c r="P8" s="146">
        <v>8.4</v>
      </c>
    </row>
    <row r="9" spans="1:16">
      <c r="A9" s="29" t="s">
        <v>15</v>
      </c>
      <c r="B9" s="41" t="s">
        <v>16</v>
      </c>
      <c r="C9" s="250">
        <v>218</v>
      </c>
      <c r="D9" s="251">
        <v>208</v>
      </c>
      <c r="E9" s="47">
        <f>208/218</f>
        <v>0.95412844036697253</v>
      </c>
      <c r="F9" s="244">
        <v>15.1</v>
      </c>
      <c r="G9" s="48"/>
      <c r="H9" s="159">
        <v>273</v>
      </c>
      <c r="I9" s="155">
        <v>248</v>
      </c>
      <c r="J9" s="156">
        <f>248/273</f>
        <v>0.90842490842490842</v>
      </c>
      <c r="K9" s="163">
        <v>17.5</v>
      </c>
      <c r="L9" s="38"/>
      <c r="M9" s="52">
        <v>208</v>
      </c>
      <c r="N9" s="52">
        <v>187</v>
      </c>
      <c r="O9" s="40">
        <f>187/208</f>
        <v>0.89903846153846156</v>
      </c>
      <c r="P9" s="146">
        <v>9.1</v>
      </c>
    </row>
    <row r="10" spans="1:16">
      <c r="A10" s="50" t="s">
        <v>17</v>
      </c>
      <c r="B10" s="41" t="s">
        <v>18</v>
      </c>
      <c r="C10" s="250">
        <v>192</v>
      </c>
      <c r="D10" s="251">
        <v>184</v>
      </c>
      <c r="E10" s="47">
        <f>184/192</f>
        <v>0.95833333333333337</v>
      </c>
      <c r="F10" s="245">
        <v>4.2</v>
      </c>
      <c r="G10" s="48"/>
      <c r="H10" s="159">
        <v>197</v>
      </c>
      <c r="I10" s="155">
        <v>172</v>
      </c>
      <c r="J10" s="156">
        <f>172/197</f>
        <v>0.87309644670050757</v>
      </c>
      <c r="K10" s="164">
        <v>4.4000000000000004</v>
      </c>
      <c r="L10" s="38"/>
      <c r="M10" s="52">
        <v>214</v>
      </c>
      <c r="N10" s="52">
        <v>169</v>
      </c>
      <c r="O10" s="40">
        <f>169/214</f>
        <v>0.78971962616822433</v>
      </c>
      <c r="P10" s="146">
        <v>4.9000000000000004</v>
      </c>
    </row>
    <row r="11" spans="1:16">
      <c r="A11" s="50"/>
      <c r="B11" s="41"/>
      <c r="C11" s="31"/>
      <c r="D11" s="32"/>
      <c r="E11" s="47"/>
      <c r="F11" s="245"/>
      <c r="G11" s="48"/>
      <c r="H11" s="159"/>
      <c r="I11" s="155"/>
      <c r="J11" s="156"/>
      <c r="K11" s="164"/>
      <c r="L11" s="38"/>
      <c r="M11" s="46"/>
      <c r="N11" s="46"/>
      <c r="O11" s="40"/>
      <c r="P11" s="146"/>
    </row>
    <row r="12" spans="1:16">
      <c r="A12" s="29" t="s">
        <v>19</v>
      </c>
      <c r="B12" s="41" t="s">
        <v>221</v>
      </c>
      <c r="C12" s="250">
        <v>116</v>
      </c>
      <c r="D12" s="251">
        <v>91</v>
      </c>
      <c r="E12" s="47">
        <f>91/116</f>
        <v>0.78448275862068961</v>
      </c>
      <c r="F12" s="265" t="s">
        <v>222</v>
      </c>
      <c r="G12" s="48"/>
      <c r="H12" s="159">
        <v>314</v>
      </c>
      <c r="I12" s="155">
        <v>299</v>
      </c>
      <c r="J12" s="156">
        <f>299/314</f>
        <v>0.95222929936305734</v>
      </c>
      <c r="K12" s="165">
        <v>32.5</v>
      </c>
      <c r="L12" s="38"/>
      <c r="M12" s="52">
        <v>245</v>
      </c>
      <c r="N12" s="52">
        <v>232</v>
      </c>
      <c r="O12" s="40">
        <f>232/245</f>
        <v>0.94693877551020411</v>
      </c>
      <c r="P12" s="167">
        <v>16.7</v>
      </c>
    </row>
    <row r="13" spans="1:16">
      <c r="A13" s="29" t="s">
        <v>20</v>
      </c>
      <c r="B13" s="41" t="s">
        <v>21</v>
      </c>
      <c r="C13" s="31">
        <v>173</v>
      </c>
      <c r="D13" s="32">
        <v>169</v>
      </c>
      <c r="E13" s="71">
        <f>169/173</f>
        <v>0.97687861271676302</v>
      </c>
      <c r="F13" s="361">
        <v>12.7</v>
      </c>
      <c r="G13" s="48"/>
      <c r="H13" s="159"/>
      <c r="I13" s="155"/>
      <c r="J13" s="156"/>
      <c r="K13" s="255"/>
      <c r="L13" s="38"/>
      <c r="M13" s="46"/>
      <c r="N13" s="46"/>
      <c r="O13" s="40"/>
      <c r="P13" s="146"/>
    </row>
    <row r="14" spans="1:16">
      <c r="A14" s="358" t="s">
        <v>22</v>
      </c>
      <c r="B14" s="359" t="s">
        <v>226</v>
      </c>
      <c r="C14" s="252">
        <v>289</v>
      </c>
      <c r="D14" s="151">
        <v>260</v>
      </c>
      <c r="E14" s="152">
        <f>260/289</f>
        <v>0.89965397923875434</v>
      </c>
      <c r="F14" s="153"/>
      <c r="G14" s="48"/>
      <c r="H14" s="159"/>
      <c r="I14" s="155"/>
      <c r="J14" s="156"/>
      <c r="K14" s="255"/>
      <c r="L14" s="38"/>
      <c r="M14" s="46"/>
      <c r="N14" s="46"/>
      <c r="O14" s="40"/>
      <c r="P14" s="146"/>
    </row>
    <row r="15" spans="1:16">
      <c r="A15" s="29" t="s">
        <v>23</v>
      </c>
      <c r="B15" s="41" t="s">
        <v>224</v>
      </c>
      <c r="C15" s="250">
        <v>70</v>
      </c>
      <c r="D15" s="251">
        <v>57</v>
      </c>
      <c r="E15" s="47">
        <f>57/70</f>
        <v>0.81428571428571428</v>
      </c>
      <c r="F15" s="265" t="s">
        <v>227</v>
      </c>
      <c r="G15" s="48"/>
      <c r="H15" s="159">
        <v>244</v>
      </c>
      <c r="I15" s="155">
        <v>234</v>
      </c>
      <c r="J15" s="156">
        <f>234/244</f>
        <v>0.95901639344262291</v>
      </c>
      <c r="K15" s="163">
        <v>20.100000000000001</v>
      </c>
      <c r="L15" s="38"/>
      <c r="M15" s="52">
        <v>225</v>
      </c>
      <c r="N15" s="52">
        <v>205</v>
      </c>
      <c r="O15" s="40">
        <f>205/225</f>
        <v>0.91111111111111109</v>
      </c>
      <c r="P15" s="146">
        <v>8.9</v>
      </c>
    </row>
    <row r="16" spans="1:16">
      <c r="A16" s="29" t="s">
        <v>223</v>
      </c>
      <c r="B16" s="41" t="s">
        <v>229</v>
      </c>
      <c r="C16" s="250">
        <v>177</v>
      </c>
      <c r="D16" s="251">
        <v>169</v>
      </c>
      <c r="E16" s="47">
        <f>169/177</f>
        <v>0.95480225988700562</v>
      </c>
      <c r="F16" s="246"/>
      <c r="G16" s="48"/>
      <c r="H16" s="159"/>
      <c r="I16" s="155"/>
      <c r="J16" s="156"/>
      <c r="K16" s="139"/>
      <c r="L16" s="38"/>
      <c r="M16" s="52"/>
      <c r="N16" s="52"/>
      <c r="O16" s="40"/>
      <c r="P16" s="146"/>
    </row>
    <row r="17" spans="1:16">
      <c r="A17" s="263" t="s">
        <v>225</v>
      </c>
      <c r="B17" s="264" t="s">
        <v>226</v>
      </c>
      <c r="C17" s="250">
        <v>247</v>
      </c>
      <c r="D17" s="251">
        <v>226</v>
      </c>
      <c r="E17" s="47">
        <f>226/247</f>
        <v>0.91497975708502022</v>
      </c>
      <c r="F17" s="246"/>
      <c r="G17" s="48"/>
      <c r="H17" s="159"/>
      <c r="I17" s="155"/>
      <c r="J17" s="156"/>
      <c r="K17" s="139"/>
      <c r="L17" s="38"/>
      <c r="M17" s="52"/>
      <c r="N17" s="52"/>
      <c r="O17" s="40"/>
      <c r="P17" s="146"/>
    </row>
    <row r="18" spans="1:16">
      <c r="A18" s="29" t="s">
        <v>24</v>
      </c>
      <c r="B18" s="41" t="s">
        <v>25</v>
      </c>
      <c r="C18" s="250">
        <v>191</v>
      </c>
      <c r="D18" s="251">
        <v>171</v>
      </c>
      <c r="E18" s="47">
        <f>171/191</f>
        <v>0.89528795811518325</v>
      </c>
      <c r="F18" s="246">
        <v>6.8</v>
      </c>
      <c r="G18" s="48"/>
      <c r="H18" s="159">
        <v>234</v>
      </c>
      <c r="I18" s="155">
        <v>207</v>
      </c>
      <c r="J18" s="156">
        <f>207/234</f>
        <v>0.88461538461538458</v>
      </c>
      <c r="K18" s="45">
        <v>14.2</v>
      </c>
      <c r="L18" s="38"/>
      <c r="M18" s="52">
        <v>207</v>
      </c>
      <c r="N18" s="52">
        <v>201</v>
      </c>
      <c r="O18" s="40">
        <f>201/207</f>
        <v>0.97101449275362317</v>
      </c>
      <c r="P18" s="168">
        <v>7.7</v>
      </c>
    </row>
    <row r="19" spans="1:16">
      <c r="A19" s="29"/>
      <c r="B19" s="41"/>
      <c r="C19" s="42"/>
      <c r="D19" s="43"/>
      <c r="E19" s="47"/>
      <c r="F19" s="246"/>
      <c r="G19" s="48"/>
      <c r="H19" s="159"/>
      <c r="I19" s="155"/>
      <c r="J19" s="156"/>
      <c r="K19" s="139"/>
      <c r="L19" s="38"/>
      <c r="M19" s="46"/>
      <c r="N19" s="46"/>
      <c r="O19" s="40"/>
      <c r="P19" s="146"/>
    </row>
    <row r="20" spans="1:16">
      <c r="A20" s="29" t="s">
        <v>26</v>
      </c>
      <c r="B20" s="41" t="s">
        <v>27</v>
      </c>
      <c r="C20" s="250">
        <v>283</v>
      </c>
      <c r="D20" s="251">
        <v>259</v>
      </c>
      <c r="E20" s="47">
        <f>259/283</f>
        <v>0.9151943462897526</v>
      </c>
      <c r="F20" s="247">
        <v>13.1</v>
      </c>
      <c r="G20" s="48"/>
      <c r="H20" s="159">
        <v>286</v>
      </c>
      <c r="I20" s="155">
        <v>263</v>
      </c>
      <c r="J20" s="156">
        <f>263/286</f>
        <v>0.91958041958041958</v>
      </c>
      <c r="K20" s="139">
        <v>9.1999999999999993</v>
      </c>
      <c r="L20" s="38"/>
      <c r="M20" s="52">
        <v>255</v>
      </c>
      <c r="N20" s="52">
        <v>222</v>
      </c>
      <c r="O20" s="40">
        <f>222/255</f>
        <v>0.87058823529411766</v>
      </c>
      <c r="P20" s="146">
        <v>7.5</v>
      </c>
    </row>
    <row r="21" spans="1:16">
      <c r="A21" s="29" t="s">
        <v>28</v>
      </c>
      <c r="B21" s="41" t="s">
        <v>29</v>
      </c>
      <c r="C21" s="250">
        <v>256</v>
      </c>
      <c r="D21" s="251">
        <v>233</v>
      </c>
      <c r="E21" s="47">
        <f>233/256</f>
        <v>0.91015625</v>
      </c>
      <c r="F21" s="244">
        <v>19.100000000000001</v>
      </c>
      <c r="G21" s="48"/>
      <c r="H21" s="159">
        <v>268</v>
      </c>
      <c r="I21" s="155">
        <v>251</v>
      </c>
      <c r="J21" s="156">
        <f>251/268</f>
        <v>0.93656716417910446</v>
      </c>
      <c r="K21" s="163">
        <v>19.5</v>
      </c>
      <c r="L21" s="38"/>
      <c r="M21" s="52">
        <v>254</v>
      </c>
      <c r="N21" s="52">
        <v>224</v>
      </c>
      <c r="O21" s="40">
        <f>224/254</f>
        <v>0.88188976377952755</v>
      </c>
      <c r="P21" s="168">
        <v>12.3</v>
      </c>
    </row>
    <row r="22" spans="1:16">
      <c r="A22" s="29" t="s">
        <v>30</v>
      </c>
      <c r="B22" s="41" t="s">
        <v>31</v>
      </c>
      <c r="C22" s="250">
        <v>106</v>
      </c>
      <c r="D22" s="251">
        <v>100</v>
      </c>
      <c r="E22" s="33">
        <f>100/106</f>
        <v>0.94339622641509435</v>
      </c>
      <c r="F22" s="243">
        <v>3.8</v>
      </c>
      <c r="G22" s="34"/>
      <c r="H22" s="158">
        <v>130</v>
      </c>
      <c r="I22" s="137">
        <v>122</v>
      </c>
      <c r="J22" s="154">
        <f>122/130</f>
        <v>0.93846153846153846</v>
      </c>
      <c r="K22" s="139">
        <v>4.7</v>
      </c>
      <c r="L22" s="38"/>
      <c r="M22" s="52">
        <v>94</v>
      </c>
      <c r="N22" s="52">
        <v>78</v>
      </c>
      <c r="O22" s="40">
        <f>78/94</f>
        <v>0.82978723404255317</v>
      </c>
      <c r="P22" s="146">
        <v>1.1000000000000001</v>
      </c>
    </row>
    <row r="23" spans="1:16">
      <c r="A23" s="29" t="s">
        <v>32</v>
      </c>
      <c r="B23" s="41" t="s">
        <v>33</v>
      </c>
      <c r="C23" s="250">
        <v>71</v>
      </c>
      <c r="D23" s="251">
        <v>68</v>
      </c>
      <c r="E23" s="47">
        <f>68/71</f>
        <v>0.95774647887323938</v>
      </c>
      <c r="F23" s="246">
        <v>0</v>
      </c>
      <c r="G23" s="48"/>
      <c r="H23" s="159">
        <v>103</v>
      </c>
      <c r="I23" s="155">
        <v>98</v>
      </c>
      <c r="J23" s="156">
        <f>98/103</f>
        <v>0.95145631067961167</v>
      </c>
      <c r="K23" s="139">
        <v>3.1</v>
      </c>
      <c r="L23" s="38"/>
      <c r="M23" s="52">
        <v>124</v>
      </c>
      <c r="N23" s="52">
        <v>101</v>
      </c>
      <c r="O23" s="40">
        <f>101/124</f>
        <v>0.81451612903225812</v>
      </c>
      <c r="P23" s="146">
        <v>3.3</v>
      </c>
    </row>
    <row r="24" spans="1:16" ht="15" thickBot="1">
      <c r="A24" s="29" t="s">
        <v>34</v>
      </c>
      <c r="B24" s="53" t="s">
        <v>35</v>
      </c>
      <c r="C24" s="250">
        <v>61</v>
      </c>
      <c r="D24" s="251">
        <v>51</v>
      </c>
      <c r="E24" s="33">
        <f>51/61</f>
        <v>0.83606557377049184</v>
      </c>
      <c r="F24" s="243">
        <v>1.6</v>
      </c>
      <c r="G24" s="34"/>
      <c r="H24" s="160">
        <v>73</v>
      </c>
      <c r="I24" s="161">
        <v>53</v>
      </c>
      <c r="J24" s="162">
        <f>53/73</f>
        <v>0.72602739726027399</v>
      </c>
      <c r="K24" s="166"/>
      <c r="L24" s="38"/>
      <c r="M24" s="169">
        <v>68</v>
      </c>
      <c r="N24" s="169">
        <v>57</v>
      </c>
      <c r="O24" s="170">
        <f>57/68</f>
        <v>0.83823529411764708</v>
      </c>
      <c r="P24" s="171">
        <v>0</v>
      </c>
    </row>
    <row r="25" spans="1:16" ht="15" thickBot="1">
      <c r="A25" s="54"/>
      <c r="B25" s="55" t="s">
        <v>36</v>
      </c>
      <c r="C25" s="248">
        <f>SUM(C5:C24)</f>
        <v>3100</v>
      </c>
      <c r="D25" s="56">
        <f>SUM(D5:D24)</f>
        <v>2865</v>
      </c>
      <c r="E25" s="57">
        <f>2041/2214</f>
        <v>0.92186088527551946</v>
      </c>
      <c r="F25" s="249"/>
      <c r="G25" s="58"/>
      <c r="H25" s="178">
        <v>2775</v>
      </c>
      <c r="I25" s="179">
        <v>2561</v>
      </c>
      <c r="J25" s="180">
        <f>2651/2775</f>
        <v>0.95531531531531533</v>
      </c>
      <c r="K25" s="180"/>
      <c r="L25" s="59"/>
      <c r="M25" s="95">
        <v>2559</v>
      </c>
      <c r="N25" s="95">
        <v>2290</v>
      </c>
      <c r="O25" s="96">
        <f>2290/2559</f>
        <v>0.89488081281750687</v>
      </c>
      <c r="P25" s="96"/>
    </row>
    <row r="26" spans="1:16">
      <c r="A26" s="30"/>
      <c r="B26" s="60"/>
      <c r="C26" s="75"/>
      <c r="D26" s="75"/>
      <c r="E26" s="76"/>
      <c r="F26" s="76"/>
      <c r="G26" s="76"/>
      <c r="H26" s="75"/>
      <c r="I26" s="75"/>
      <c r="J26" s="76"/>
      <c r="K26" s="27"/>
      <c r="L26" s="27"/>
      <c r="M26" s="75"/>
      <c r="N26" s="75"/>
      <c r="O26" s="76"/>
      <c r="P26" s="27"/>
    </row>
    <row r="27" spans="1:16" ht="15" thickBot="1">
      <c r="A27" s="4" t="s">
        <v>1</v>
      </c>
      <c r="B27" s="4" t="s">
        <v>2</v>
      </c>
      <c r="E27" s="61"/>
      <c r="F27" s="61"/>
      <c r="G27" s="61"/>
      <c r="H27" s="3"/>
      <c r="I27" s="3"/>
      <c r="J27" s="61"/>
      <c r="L27" s="3"/>
      <c r="M27" s="3"/>
      <c r="O27" s="63"/>
    </row>
    <row r="28" spans="1:16" ht="15" thickBot="1">
      <c r="A28" s="15" t="s">
        <v>37</v>
      </c>
      <c r="B28" s="16"/>
      <c r="C28" s="17" t="s">
        <v>4</v>
      </c>
      <c r="D28" s="18" t="s">
        <v>5</v>
      </c>
      <c r="E28" s="19" t="s">
        <v>6</v>
      </c>
      <c r="F28" s="64"/>
      <c r="G28" s="20"/>
      <c r="H28" s="21" t="s">
        <v>4</v>
      </c>
      <c r="I28" s="22" t="s">
        <v>5</v>
      </c>
      <c r="J28" s="23" t="s">
        <v>6</v>
      </c>
      <c r="K28" s="258"/>
      <c r="L28" s="11"/>
      <c r="M28" s="24" t="s">
        <v>4</v>
      </c>
      <c r="N28" s="25" t="s">
        <v>5</v>
      </c>
      <c r="O28" s="26" t="s">
        <v>6</v>
      </c>
      <c r="P28" s="147"/>
    </row>
    <row r="29" spans="1:16">
      <c r="A29" s="101" t="s">
        <v>239</v>
      </c>
      <c r="B29" s="378" t="s">
        <v>240</v>
      </c>
      <c r="C29" s="379">
        <v>3</v>
      </c>
      <c r="D29" s="380">
        <v>3</v>
      </c>
      <c r="E29" s="266">
        <v>1</v>
      </c>
      <c r="F29" s="266"/>
      <c r="G29" s="66"/>
      <c r="H29" s="62"/>
      <c r="I29" s="374"/>
      <c r="J29" s="67"/>
      <c r="K29" s="35"/>
      <c r="L29" s="28"/>
      <c r="M29" s="375"/>
      <c r="N29" s="376"/>
      <c r="O29" s="377"/>
      <c r="P29" s="259"/>
    </row>
    <row r="30" spans="1:16">
      <c r="A30" s="172" t="s">
        <v>60</v>
      </c>
      <c r="B30" s="173" t="s">
        <v>61</v>
      </c>
      <c r="C30" s="253">
        <v>67</v>
      </c>
      <c r="D30" s="253">
        <v>23</v>
      </c>
      <c r="E30" s="266">
        <f>23/67</f>
        <v>0.34328358208955223</v>
      </c>
      <c r="F30" s="65"/>
      <c r="G30" s="66"/>
      <c r="H30" s="44">
        <v>56</v>
      </c>
      <c r="I30" s="44">
        <v>23</v>
      </c>
      <c r="J30" s="49">
        <f>23/56</f>
        <v>0.4107142857142857</v>
      </c>
      <c r="K30" s="67"/>
      <c r="L30" s="28"/>
      <c r="M30" s="70">
        <v>45</v>
      </c>
      <c r="N30" s="52">
        <v>16</v>
      </c>
      <c r="O30" s="40">
        <f>16/45</f>
        <v>0.35555555555555557</v>
      </c>
      <c r="P30" s="259"/>
    </row>
    <row r="31" spans="1:16">
      <c r="A31" s="172" t="s">
        <v>38</v>
      </c>
      <c r="B31" s="173" t="s">
        <v>39</v>
      </c>
      <c r="C31" s="253">
        <v>25</v>
      </c>
      <c r="D31" s="253">
        <v>17</v>
      </c>
      <c r="E31" s="47">
        <f>17/25</f>
        <v>0.68</v>
      </c>
      <c r="F31" s="47"/>
      <c r="G31" s="48"/>
      <c r="H31" s="44">
        <v>26</v>
      </c>
      <c r="I31" s="44">
        <v>26</v>
      </c>
      <c r="J31" s="49">
        <v>1</v>
      </c>
      <c r="K31" s="49"/>
      <c r="L31" s="38"/>
      <c r="M31" s="70">
        <v>22</v>
      </c>
      <c r="N31" s="52">
        <v>21</v>
      </c>
      <c r="O31" s="40">
        <f>21/22</f>
        <v>0.95454545454545459</v>
      </c>
      <c r="P31" s="260"/>
    </row>
    <row r="32" spans="1:16">
      <c r="A32" s="172" t="s">
        <v>62</v>
      </c>
      <c r="B32" s="173" t="s">
        <v>63</v>
      </c>
      <c r="C32" s="253">
        <v>96</v>
      </c>
      <c r="D32" s="253">
        <v>66</v>
      </c>
      <c r="E32" s="47">
        <f>66/96</f>
        <v>0.6875</v>
      </c>
      <c r="F32" s="47"/>
      <c r="G32" s="48"/>
      <c r="H32" s="44">
        <v>67</v>
      </c>
      <c r="I32" s="44">
        <v>24</v>
      </c>
      <c r="J32" s="49">
        <f>24/67</f>
        <v>0.35820895522388058</v>
      </c>
      <c r="K32" s="49"/>
      <c r="L32" s="38"/>
      <c r="M32" s="70">
        <v>58</v>
      </c>
      <c r="N32" s="52">
        <v>49</v>
      </c>
      <c r="O32" s="40">
        <f>49/58</f>
        <v>0.84482758620689657</v>
      </c>
      <c r="P32" s="260"/>
    </row>
    <row r="33" spans="1:18">
      <c r="A33" s="172" t="s">
        <v>64</v>
      </c>
      <c r="B33" s="173" t="s">
        <v>65</v>
      </c>
      <c r="C33" s="253">
        <v>38</v>
      </c>
      <c r="D33" s="253">
        <v>23</v>
      </c>
      <c r="E33" s="71">
        <v>0.61</v>
      </c>
      <c r="F33" s="43"/>
      <c r="G33" s="68"/>
      <c r="H33" s="44">
        <v>38</v>
      </c>
      <c r="I33" s="44">
        <v>23</v>
      </c>
      <c r="J33" s="49">
        <f>23/38</f>
        <v>0.60526315789473684</v>
      </c>
      <c r="K33" s="49"/>
      <c r="L33" s="38"/>
      <c r="M33" s="70">
        <v>27</v>
      </c>
      <c r="N33" s="52">
        <v>18</v>
      </c>
      <c r="O33" s="40">
        <f>18/27</f>
        <v>0.66666666666666663</v>
      </c>
      <c r="P33" s="260"/>
    </row>
    <row r="34" spans="1:18">
      <c r="A34" s="172" t="s">
        <v>66</v>
      </c>
      <c r="B34" s="173" t="s">
        <v>67</v>
      </c>
      <c r="C34" s="43" t="s">
        <v>232</v>
      </c>
      <c r="D34" s="43"/>
      <c r="E34" s="43"/>
      <c r="F34" s="43"/>
      <c r="G34" s="68"/>
      <c r="H34" s="44">
        <v>4</v>
      </c>
      <c r="I34" s="44">
        <v>4</v>
      </c>
      <c r="J34" s="49">
        <v>1</v>
      </c>
      <c r="K34" s="49"/>
      <c r="L34" s="38"/>
      <c r="M34" s="70">
        <v>1</v>
      </c>
      <c r="N34" s="52">
        <v>1</v>
      </c>
      <c r="O34" s="40">
        <v>1</v>
      </c>
      <c r="P34" s="260"/>
    </row>
    <row r="35" spans="1:18">
      <c r="A35" s="172" t="s">
        <v>68</v>
      </c>
      <c r="B35" s="173" t="s">
        <v>69</v>
      </c>
      <c r="C35" s="43" t="s">
        <v>231</v>
      </c>
      <c r="D35" s="43"/>
      <c r="E35" s="43"/>
      <c r="F35" s="43"/>
      <c r="G35" s="68"/>
      <c r="H35" s="44">
        <v>6</v>
      </c>
      <c r="I35" s="44">
        <v>6</v>
      </c>
      <c r="J35" s="49">
        <v>1</v>
      </c>
      <c r="K35" s="49"/>
      <c r="L35" s="38"/>
      <c r="M35" s="69" t="s">
        <v>84</v>
      </c>
      <c r="N35" s="52"/>
      <c r="O35" s="40"/>
      <c r="P35" s="260"/>
    </row>
    <row r="36" spans="1:18">
      <c r="A36" s="172" t="s">
        <v>70</v>
      </c>
      <c r="B36" s="173" t="s">
        <v>71</v>
      </c>
      <c r="C36" s="253">
        <v>341</v>
      </c>
      <c r="D36" s="253">
        <v>212</v>
      </c>
      <c r="E36" s="71">
        <v>0.62</v>
      </c>
      <c r="F36" s="43"/>
      <c r="G36" s="68"/>
      <c r="H36" s="44">
        <v>278</v>
      </c>
      <c r="I36" s="44">
        <v>182</v>
      </c>
      <c r="J36" s="49">
        <f>182/278</f>
        <v>0.65467625899280579</v>
      </c>
      <c r="K36" s="49"/>
      <c r="L36" s="38"/>
      <c r="M36" s="70">
        <v>221</v>
      </c>
      <c r="N36" s="52">
        <v>172</v>
      </c>
      <c r="O36" s="40">
        <f>172/221</f>
        <v>0.77828054298642535</v>
      </c>
      <c r="P36" s="260"/>
    </row>
    <row r="37" spans="1:18">
      <c r="A37" s="172" t="s">
        <v>72</v>
      </c>
      <c r="B37" s="173" t="s">
        <v>233</v>
      </c>
      <c r="C37" s="236">
        <v>3</v>
      </c>
      <c r="D37" s="236">
        <v>2</v>
      </c>
      <c r="E37" s="71">
        <v>0.67</v>
      </c>
      <c r="F37" s="43"/>
      <c r="G37" s="68"/>
      <c r="H37" s="44">
        <v>163</v>
      </c>
      <c r="I37" s="44">
        <v>88</v>
      </c>
      <c r="J37" s="49">
        <f>88/163</f>
        <v>0.53987730061349692</v>
      </c>
      <c r="K37" s="49"/>
      <c r="L37" s="38"/>
      <c r="M37" s="70">
        <v>88</v>
      </c>
      <c r="N37" s="52">
        <v>67</v>
      </c>
      <c r="O37" s="40">
        <f>67/88</f>
        <v>0.76136363636363635</v>
      </c>
      <c r="P37" s="260"/>
    </row>
    <row r="38" spans="1:18">
      <c r="A38" s="172" t="s">
        <v>73</v>
      </c>
      <c r="B38" s="173" t="s">
        <v>74</v>
      </c>
      <c r="C38" s="253">
        <v>158</v>
      </c>
      <c r="D38" s="253">
        <v>102</v>
      </c>
      <c r="E38" s="71">
        <f>102/158</f>
        <v>0.64556962025316456</v>
      </c>
      <c r="F38" s="71"/>
      <c r="G38" s="68"/>
      <c r="H38" s="44">
        <v>116</v>
      </c>
      <c r="I38" s="44">
        <v>77</v>
      </c>
      <c r="J38" s="49">
        <f>77/116</f>
        <v>0.66379310344827591</v>
      </c>
      <c r="K38" s="49"/>
      <c r="L38" s="38"/>
      <c r="M38" s="70">
        <v>67</v>
      </c>
      <c r="N38" s="52">
        <v>27</v>
      </c>
      <c r="O38" s="40">
        <f>27/67</f>
        <v>0.40298507462686567</v>
      </c>
      <c r="P38" s="260"/>
    </row>
    <row r="39" spans="1:18">
      <c r="A39" s="172" t="s">
        <v>75</v>
      </c>
      <c r="B39" s="173" t="s">
        <v>76</v>
      </c>
      <c r="C39" s="43">
        <v>33</v>
      </c>
      <c r="D39" s="43">
        <v>1</v>
      </c>
      <c r="E39" s="71">
        <v>0.03</v>
      </c>
      <c r="F39" s="43"/>
      <c r="G39" s="68"/>
      <c r="H39" s="44">
        <v>84</v>
      </c>
      <c r="I39" s="44">
        <v>36</v>
      </c>
      <c r="J39" s="49">
        <f>36/84</f>
        <v>0.42857142857142855</v>
      </c>
      <c r="K39" s="49"/>
      <c r="L39" s="38"/>
      <c r="M39" s="70">
        <v>73</v>
      </c>
      <c r="N39" s="52">
        <v>63</v>
      </c>
      <c r="O39" s="40">
        <f>63/73</f>
        <v>0.86301369863013699</v>
      </c>
      <c r="P39" s="260"/>
    </row>
    <row r="40" spans="1:18">
      <c r="A40" s="172" t="s">
        <v>77</v>
      </c>
      <c r="B40" s="173" t="s">
        <v>78</v>
      </c>
      <c r="C40" s="253">
        <v>118</v>
      </c>
      <c r="D40" s="253">
        <v>94</v>
      </c>
      <c r="E40" s="71">
        <v>0.8</v>
      </c>
      <c r="F40" s="43"/>
      <c r="G40" s="68"/>
      <c r="H40" s="44">
        <v>79</v>
      </c>
      <c r="I40" s="44">
        <v>52</v>
      </c>
      <c r="J40" s="49">
        <f>52/79</f>
        <v>0.65822784810126578</v>
      </c>
      <c r="K40" s="49"/>
      <c r="L40" s="38"/>
      <c r="M40" s="70">
        <v>63</v>
      </c>
      <c r="N40" s="52">
        <v>54</v>
      </c>
      <c r="O40" s="40">
        <f>54/63</f>
        <v>0.8571428571428571</v>
      </c>
      <c r="P40" s="260"/>
    </row>
    <row r="41" spans="1:18" ht="15" thickBot="1">
      <c r="A41" s="287" t="s">
        <v>79</v>
      </c>
      <c r="B41" s="174" t="s">
        <v>80</v>
      </c>
      <c r="C41" s="288">
        <v>73</v>
      </c>
      <c r="D41" s="288">
        <v>49</v>
      </c>
      <c r="E41" s="313">
        <v>0.67</v>
      </c>
      <c r="F41" s="277"/>
      <c r="G41" s="289"/>
      <c r="H41" s="280">
        <v>70</v>
      </c>
      <c r="I41" s="280">
        <v>22</v>
      </c>
      <c r="J41" s="281">
        <f>22/70</f>
        <v>0.31428571428571428</v>
      </c>
      <c r="K41" s="281"/>
      <c r="L41" s="282"/>
      <c r="M41" s="176">
        <v>36</v>
      </c>
      <c r="N41" s="169">
        <v>29</v>
      </c>
      <c r="O41" s="170">
        <f>29/36</f>
        <v>0.80555555555555558</v>
      </c>
      <c r="P41" s="261"/>
    </row>
    <row r="42" spans="1:18" s="3" customFormat="1" ht="15" thickBot="1">
      <c r="A42" s="290"/>
      <c r="B42" s="291"/>
      <c r="C42" s="257">
        <f>SUM(C30:C41)</f>
        <v>952</v>
      </c>
      <c r="D42" s="257">
        <f>SUM(D30:D41)</f>
        <v>589</v>
      </c>
      <c r="E42" s="314">
        <v>0.64</v>
      </c>
      <c r="F42" s="295"/>
      <c r="G42" s="292"/>
      <c r="H42" s="120">
        <f>SUM(H30:H41)</f>
        <v>987</v>
      </c>
      <c r="I42" s="120">
        <f>SUM(I30:I41)</f>
        <v>563</v>
      </c>
      <c r="J42" s="315">
        <f>563/987</f>
        <v>0.57041540020263426</v>
      </c>
      <c r="K42" s="315"/>
      <c r="L42" s="316"/>
      <c r="M42" s="317">
        <f>SUM(M30:M41)</f>
        <v>701</v>
      </c>
      <c r="N42" s="318">
        <f>SUM(N30:N41)</f>
        <v>517</v>
      </c>
      <c r="O42" s="319">
        <f>517/701</f>
        <v>0.73751783166904428</v>
      </c>
      <c r="P42" s="293"/>
      <c r="R42"/>
    </row>
    <row r="43" spans="1:18" s="3" customFormat="1">
      <c r="A43" s="284" t="s">
        <v>234</v>
      </c>
      <c r="C43" s="227"/>
      <c r="D43" s="227"/>
      <c r="E43" s="267"/>
      <c r="F43" s="53"/>
      <c r="G43" s="53"/>
      <c r="H43" s="53"/>
      <c r="I43" s="53"/>
      <c r="J43" s="283"/>
      <c r="K43" s="283"/>
      <c r="L43" s="27"/>
      <c r="M43" s="285"/>
      <c r="N43" s="184"/>
      <c r="O43" s="283"/>
      <c r="P43" s="286"/>
    </row>
    <row r="44" spans="1:18" ht="15" thickBot="1">
      <c r="A44" s="41"/>
      <c r="B44" s="60"/>
      <c r="C44" s="75"/>
      <c r="D44" s="75"/>
      <c r="E44" s="76"/>
      <c r="F44" s="76"/>
      <c r="G44" s="76"/>
      <c r="H44" s="75"/>
      <c r="I44" s="75"/>
      <c r="J44" s="76"/>
      <c r="K44" s="76"/>
      <c r="L44" s="75"/>
      <c r="M44" s="75"/>
      <c r="N44" s="75"/>
      <c r="O44" s="76"/>
      <c r="P44" s="76"/>
      <c r="R44" s="3"/>
    </row>
    <row r="45" spans="1:18">
      <c r="A45" s="77" t="s">
        <v>41</v>
      </c>
      <c r="B45" s="78" t="s">
        <v>42</v>
      </c>
      <c r="C45" s="79">
        <v>320</v>
      </c>
      <c r="D45" s="79">
        <v>210</v>
      </c>
      <c r="E45" s="80">
        <f>210/320</f>
        <v>0.65625</v>
      </c>
      <c r="F45" s="80"/>
      <c r="G45" s="81"/>
      <c r="H45" s="82">
        <v>300</v>
      </c>
      <c r="I45" s="82">
        <v>134</v>
      </c>
      <c r="J45" s="83">
        <f>134/300</f>
        <v>0.44666666666666666</v>
      </c>
      <c r="K45" s="83"/>
      <c r="L45" s="84"/>
      <c r="M45" s="85">
        <v>230</v>
      </c>
      <c r="N45" s="85">
        <v>195</v>
      </c>
      <c r="O45" s="86">
        <f>195/230</f>
        <v>0.84782608695652173</v>
      </c>
      <c r="P45" s="148"/>
    </row>
    <row r="46" spans="1:18" ht="15" thickBot="1">
      <c r="A46" s="87" t="s">
        <v>43</v>
      </c>
      <c r="B46" s="88" t="s">
        <v>44</v>
      </c>
      <c r="C46" s="89">
        <v>632</v>
      </c>
      <c r="D46" s="89">
        <v>379</v>
      </c>
      <c r="E46" s="90">
        <f>379/632</f>
        <v>0.59968354430379744</v>
      </c>
      <c r="F46" s="90"/>
      <c r="G46" s="91"/>
      <c r="H46" s="92">
        <v>687</v>
      </c>
      <c r="I46" s="92">
        <v>429</v>
      </c>
      <c r="J46" s="93">
        <f>429/687</f>
        <v>0.62445414847161573</v>
      </c>
      <c r="K46" s="93"/>
      <c r="L46" s="94"/>
      <c r="M46" s="95">
        <v>471</v>
      </c>
      <c r="N46" s="95">
        <v>322</v>
      </c>
      <c r="O46" s="96">
        <f>322/471</f>
        <v>0.68365180467091291</v>
      </c>
      <c r="P46" s="149"/>
    </row>
    <row r="47" spans="1:18" ht="15" thickBot="1">
      <c r="A47" s="41"/>
      <c r="B47" s="53"/>
      <c r="C47" s="30"/>
      <c r="D47" s="30"/>
      <c r="E47" s="97"/>
      <c r="F47" s="98"/>
      <c r="G47" s="98"/>
      <c r="H47" s="27"/>
      <c r="I47" s="30"/>
      <c r="J47" s="97"/>
      <c r="K47" s="97"/>
      <c r="L47" s="27"/>
      <c r="M47" s="27"/>
      <c r="N47" s="30"/>
      <c r="O47" s="97"/>
      <c r="P47" s="97"/>
    </row>
    <row r="48" spans="1:18" ht="15" thickBot="1">
      <c r="A48" s="99" t="s">
        <v>1</v>
      </c>
      <c r="B48" s="100" t="s">
        <v>2</v>
      </c>
      <c r="C48" s="101"/>
      <c r="D48" s="101"/>
      <c r="E48" s="102"/>
      <c r="F48" s="102"/>
      <c r="G48" s="103"/>
      <c r="H48" s="101"/>
      <c r="I48" s="101"/>
      <c r="J48" s="102"/>
      <c r="K48" s="102"/>
      <c r="L48" s="101"/>
      <c r="M48" s="101"/>
      <c r="N48" s="101"/>
      <c r="O48" s="102"/>
      <c r="P48" s="150"/>
    </row>
    <row r="49" spans="1:18" ht="15" thickBot="1">
      <c r="A49" s="104" t="s">
        <v>45</v>
      </c>
      <c r="B49" s="105"/>
      <c r="C49" s="17" t="s">
        <v>4</v>
      </c>
      <c r="D49" s="18" t="s">
        <v>5</v>
      </c>
      <c r="E49" s="19" t="s">
        <v>6</v>
      </c>
      <c r="F49" s="64"/>
      <c r="H49" s="9" t="s">
        <v>4</v>
      </c>
      <c r="I49" s="22" t="s">
        <v>5</v>
      </c>
      <c r="J49" s="23" t="s">
        <v>6</v>
      </c>
      <c r="K49" s="23"/>
      <c r="L49" s="11"/>
      <c r="M49" s="13" t="s">
        <v>4</v>
      </c>
      <c r="N49" s="25" t="s">
        <v>5</v>
      </c>
      <c r="O49" s="26" t="s">
        <v>6</v>
      </c>
      <c r="P49" s="145"/>
    </row>
    <row r="50" spans="1:18">
      <c r="A50" s="181" t="s">
        <v>85</v>
      </c>
      <c r="B50" s="30" t="s">
        <v>86</v>
      </c>
      <c r="C50" s="42">
        <v>26</v>
      </c>
      <c r="D50" s="268">
        <v>25</v>
      </c>
      <c r="E50" s="324">
        <v>0.96</v>
      </c>
      <c r="F50" s="325"/>
      <c r="G50" s="68"/>
      <c r="H50" s="320">
        <v>24</v>
      </c>
      <c r="I50" s="320">
        <v>23</v>
      </c>
      <c r="J50" s="49">
        <f>23/24</f>
        <v>0.95833333333333337</v>
      </c>
      <c r="K50" s="49"/>
      <c r="L50" s="108"/>
      <c r="M50" s="329">
        <v>21</v>
      </c>
      <c r="N50" s="330">
        <v>21</v>
      </c>
      <c r="O50" s="275">
        <v>1</v>
      </c>
      <c r="P50" s="331"/>
    </row>
    <row r="51" spans="1:18" s="3" customFormat="1">
      <c r="A51" s="285" t="s">
        <v>87</v>
      </c>
      <c r="B51" s="184" t="s">
        <v>230</v>
      </c>
      <c r="C51" s="42" t="s">
        <v>84</v>
      </c>
      <c r="D51" s="43"/>
      <c r="E51" s="43"/>
      <c r="F51" s="107"/>
      <c r="G51" s="53"/>
      <c r="H51" s="320">
        <v>62</v>
      </c>
      <c r="I51" s="320">
        <v>39</v>
      </c>
      <c r="J51" s="49">
        <f>39/62</f>
        <v>0.62903225806451613</v>
      </c>
      <c r="K51" s="49"/>
      <c r="L51" s="322"/>
      <c r="M51" s="188" t="s">
        <v>84</v>
      </c>
      <c r="N51" s="39"/>
      <c r="O51" s="72"/>
      <c r="P51" s="332"/>
      <c r="R51"/>
    </row>
    <row r="52" spans="1:18">
      <c r="A52" s="181" t="s">
        <v>88</v>
      </c>
      <c r="B52" s="30" t="s">
        <v>89</v>
      </c>
      <c r="C52" s="250">
        <v>39</v>
      </c>
      <c r="D52" s="251">
        <v>18</v>
      </c>
      <c r="E52" s="71">
        <v>0.46</v>
      </c>
      <c r="F52" s="107"/>
      <c r="G52" s="68"/>
      <c r="H52" s="320">
        <v>40</v>
      </c>
      <c r="I52" s="320">
        <v>26</v>
      </c>
      <c r="J52" s="49">
        <f>26/40</f>
        <v>0.65</v>
      </c>
      <c r="K52" s="49"/>
      <c r="L52" s="108"/>
      <c r="M52" s="187">
        <v>35</v>
      </c>
      <c r="N52" s="46">
        <v>21</v>
      </c>
      <c r="O52" s="40">
        <f>21/35</f>
        <v>0.6</v>
      </c>
      <c r="P52" s="332"/>
      <c r="R52" s="3"/>
    </row>
    <row r="53" spans="1:18">
      <c r="A53" s="181" t="s">
        <v>90</v>
      </c>
      <c r="B53" s="30" t="s">
        <v>61</v>
      </c>
      <c r="C53" s="250">
        <v>47</v>
      </c>
      <c r="D53" s="251">
        <v>28</v>
      </c>
      <c r="E53" s="71">
        <v>0.59</v>
      </c>
      <c r="F53" s="107"/>
      <c r="G53" s="68"/>
      <c r="H53" s="320">
        <v>39</v>
      </c>
      <c r="I53" s="320">
        <v>21</v>
      </c>
      <c r="J53" s="49">
        <f>21/39</f>
        <v>0.53846153846153844</v>
      </c>
      <c r="K53" s="49"/>
      <c r="L53" s="108"/>
      <c r="M53" s="187">
        <v>29</v>
      </c>
      <c r="N53" s="46">
        <v>18</v>
      </c>
      <c r="O53" s="40">
        <f>18/29</f>
        <v>0.62068965517241381</v>
      </c>
      <c r="P53" s="332"/>
    </row>
    <row r="54" spans="1:18" s="3" customFormat="1">
      <c r="A54" s="185" t="s">
        <v>91</v>
      </c>
      <c r="B54" s="27" t="s">
        <v>63</v>
      </c>
      <c r="C54" s="250">
        <v>71</v>
      </c>
      <c r="D54" s="251">
        <v>52</v>
      </c>
      <c r="E54" s="71">
        <v>0.73</v>
      </c>
      <c r="F54" s="107"/>
      <c r="G54" s="53"/>
      <c r="H54" s="320">
        <v>77</v>
      </c>
      <c r="I54" s="320">
        <v>63</v>
      </c>
      <c r="J54" s="49">
        <f>63/77</f>
        <v>0.81818181818181823</v>
      </c>
      <c r="K54" s="49"/>
      <c r="L54" s="322"/>
      <c r="M54" s="187">
        <v>41</v>
      </c>
      <c r="N54" s="46">
        <v>28</v>
      </c>
      <c r="O54" s="40">
        <f>28/41</f>
        <v>0.68292682926829273</v>
      </c>
      <c r="P54" s="332"/>
      <c r="R54"/>
    </row>
    <row r="55" spans="1:18" s="3" customFormat="1">
      <c r="A55" s="185" t="s">
        <v>92</v>
      </c>
      <c r="B55" s="27" t="s">
        <v>93</v>
      </c>
      <c r="C55" s="250">
        <v>59</v>
      </c>
      <c r="D55" s="251">
        <v>42</v>
      </c>
      <c r="E55" s="71">
        <v>0.71</v>
      </c>
      <c r="F55" s="107"/>
      <c r="G55" s="53"/>
      <c r="H55" s="320">
        <v>76</v>
      </c>
      <c r="I55" s="320">
        <v>56</v>
      </c>
      <c r="J55" s="49">
        <f>56/76</f>
        <v>0.73684210526315785</v>
      </c>
      <c r="K55" s="49"/>
      <c r="L55" s="322"/>
      <c r="M55" s="187">
        <v>39</v>
      </c>
      <c r="N55" s="46">
        <v>30</v>
      </c>
      <c r="O55" s="40">
        <f>30/39</f>
        <v>0.76923076923076927</v>
      </c>
      <c r="P55" s="332"/>
    </row>
    <row r="56" spans="1:18" s="3" customFormat="1">
      <c r="A56" s="185" t="s">
        <v>94</v>
      </c>
      <c r="B56" s="27" t="s">
        <v>95</v>
      </c>
      <c r="C56" s="110">
        <v>42</v>
      </c>
      <c r="D56" s="111">
        <v>29</v>
      </c>
      <c r="E56" s="47">
        <f>29/42</f>
        <v>0.69047619047619047</v>
      </c>
      <c r="F56" s="112"/>
      <c r="G56" s="283"/>
      <c r="H56" s="320">
        <v>52</v>
      </c>
      <c r="I56" s="320">
        <v>39</v>
      </c>
      <c r="J56" s="49">
        <f>39/52</f>
        <v>0.75</v>
      </c>
      <c r="K56" s="49"/>
      <c r="L56" s="322"/>
      <c r="M56" s="187">
        <v>32</v>
      </c>
      <c r="N56" s="46">
        <v>26</v>
      </c>
      <c r="O56" s="40">
        <f>26/32</f>
        <v>0.8125</v>
      </c>
      <c r="P56" s="333"/>
    </row>
    <row r="57" spans="1:18">
      <c r="A57" s="182" t="s">
        <v>96</v>
      </c>
      <c r="B57" s="183" t="s">
        <v>97</v>
      </c>
      <c r="C57" s="250">
        <v>45</v>
      </c>
      <c r="D57" s="251">
        <v>22</v>
      </c>
      <c r="E57" s="47">
        <f>22/45</f>
        <v>0.48888888888888887</v>
      </c>
      <c r="F57" s="112"/>
      <c r="G57" s="48"/>
      <c r="H57" s="320">
        <v>51</v>
      </c>
      <c r="I57" s="320">
        <v>39</v>
      </c>
      <c r="J57" s="49">
        <f>39/51</f>
        <v>0.76470588235294112</v>
      </c>
      <c r="K57" s="49"/>
      <c r="L57" s="108"/>
      <c r="M57" s="187">
        <v>42</v>
      </c>
      <c r="N57" s="46">
        <v>30</v>
      </c>
      <c r="O57" s="40">
        <f>30/42</f>
        <v>0.7142857142857143</v>
      </c>
      <c r="P57" s="333"/>
      <c r="R57" s="3"/>
    </row>
    <row r="58" spans="1:18" ht="15" thickBot="1">
      <c r="A58" s="181" t="s">
        <v>98</v>
      </c>
      <c r="B58" s="30" t="s">
        <v>99</v>
      </c>
      <c r="C58" s="250">
        <v>32</v>
      </c>
      <c r="D58" s="251">
        <v>18</v>
      </c>
      <c r="E58" s="71">
        <v>0.56000000000000005</v>
      </c>
      <c r="F58" s="107"/>
      <c r="G58" s="68"/>
      <c r="H58" s="320">
        <v>40</v>
      </c>
      <c r="I58" s="320">
        <v>29</v>
      </c>
      <c r="J58" s="49">
        <f>29/40</f>
        <v>0.72499999999999998</v>
      </c>
      <c r="K58" s="49"/>
      <c r="L58" s="108"/>
      <c r="M58" s="187">
        <v>25</v>
      </c>
      <c r="N58" s="46">
        <v>14</v>
      </c>
      <c r="O58" s="40">
        <f>14/25</f>
        <v>0.56000000000000005</v>
      </c>
      <c r="P58" s="332"/>
    </row>
    <row r="59" spans="1:18" ht="15" thickBot="1">
      <c r="A59" s="309" t="s">
        <v>211</v>
      </c>
      <c r="B59" s="309" t="s">
        <v>212</v>
      </c>
      <c r="C59" s="310">
        <v>6</v>
      </c>
      <c r="D59" s="311">
        <v>3</v>
      </c>
      <c r="E59" s="312">
        <v>0.5</v>
      </c>
      <c r="F59" s="107"/>
      <c r="G59" s="20"/>
      <c r="H59" s="320">
        <v>1</v>
      </c>
      <c r="I59" s="320">
        <v>1</v>
      </c>
      <c r="J59" s="49">
        <v>1</v>
      </c>
      <c r="K59" s="49"/>
      <c r="L59" s="108"/>
      <c r="M59" s="187">
        <v>11</v>
      </c>
      <c r="N59" s="46">
        <v>6</v>
      </c>
      <c r="O59" s="40">
        <f>6/11</f>
        <v>0.54545454545454541</v>
      </c>
      <c r="P59" s="332"/>
    </row>
    <row r="60" spans="1:18">
      <c r="A60" s="181" t="s">
        <v>100</v>
      </c>
      <c r="B60" s="30" t="s">
        <v>101</v>
      </c>
      <c r="C60" s="42" t="s">
        <v>231</v>
      </c>
      <c r="D60" s="43"/>
      <c r="E60" s="43"/>
      <c r="F60" s="107"/>
      <c r="G60" s="68"/>
      <c r="H60" s="320">
        <v>15</v>
      </c>
      <c r="I60" s="320">
        <v>15</v>
      </c>
      <c r="J60" s="49">
        <v>1</v>
      </c>
      <c r="K60" s="49"/>
      <c r="L60" s="108"/>
      <c r="M60" s="187">
        <v>24</v>
      </c>
      <c r="N60" s="46">
        <v>24</v>
      </c>
      <c r="O60" s="40">
        <v>1</v>
      </c>
      <c r="P60" s="333"/>
    </row>
    <row r="61" spans="1:18">
      <c r="A61" s="181" t="s">
        <v>102</v>
      </c>
      <c r="B61" s="30" t="s">
        <v>103</v>
      </c>
      <c r="C61" s="42">
        <v>141</v>
      </c>
      <c r="D61" s="43">
        <v>106</v>
      </c>
      <c r="E61" s="71">
        <v>0.75</v>
      </c>
      <c r="F61" s="107"/>
      <c r="G61" s="68"/>
      <c r="H61" s="320">
        <v>154</v>
      </c>
      <c r="I61" s="320">
        <v>115</v>
      </c>
      <c r="J61" s="49">
        <f>115/154</f>
        <v>0.74675324675324672</v>
      </c>
      <c r="K61" s="321"/>
      <c r="L61" s="108"/>
      <c r="M61" s="187">
        <v>134</v>
      </c>
      <c r="N61" s="46">
        <v>103</v>
      </c>
      <c r="O61" s="40">
        <f>103/134</f>
        <v>0.76865671641791045</v>
      </c>
      <c r="P61" s="333"/>
    </row>
    <row r="62" spans="1:18">
      <c r="A62" s="181" t="s">
        <v>104</v>
      </c>
      <c r="B62" s="30" t="s">
        <v>105</v>
      </c>
      <c r="C62" s="42">
        <v>212</v>
      </c>
      <c r="D62" s="43">
        <v>165</v>
      </c>
      <c r="E62" s="71">
        <v>0.78</v>
      </c>
      <c r="F62" s="107"/>
      <c r="G62" s="68"/>
      <c r="H62" s="320">
        <v>234</v>
      </c>
      <c r="I62" s="320">
        <v>186</v>
      </c>
      <c r="J62" s="49">
        <f>186/234</f>
        <v>0.79487179487179482</v>
      </c>
      <c r="K62" s="321"/>
      <c r="L62" s="108"/>
      <c r="M62" s="187">
        <v>177</v>
      </c>
      <c r="N62" s="46">
        <v>142</v>
      </c>
      <c r="O62" s="40">
        <f>142/177</f>
        <v>0.80225988700564976</v>
      </c>
      <c r="P62" s="333"/>
    </row>
    <row r="63" spans="1:18" s="3" customFormat="1">
      <c r="A63" s="185" t="s">
        <v>106</v>
      </c>
      <c r="B63" s="27" t="s">
        <v>107</v>
      </c>
      <c r="C63" s="42">
        <v>75</v>
      </c>
      <c r="D63" s="43">
        <v>55</v>
      </c>
      <c r="E63" s="115">
        <f>55/75</f>
        <v>0.73333333333333328</v>
      </c>
      <c r="F63" s="114"/>
      <c r="G63" s="323"/>
      <c r="H63" s="320">
        <v>90</v>
      </c>
      <c r="I63" s="320">
        <v>67</v>
      </c>
      <c r="J63" s="49">
        <f>67/90</f>
        <v>0.74444444444444446</v>
      </c>
      <c r="K63" s="321"/>
      <c r="L63" s="322"/>
      <c r="M63" s="187">
        <v>68</v>
      </c>
      <c r="N63" s="46">
        <v>53</v>
      </c>
      <c r="O63" s="40">
        <f>53/68</f>
        <v>0.77941176470588236</v>
      </c>
      <c r="P63" s="333"/>
      <c r="R63"/>
    </row>
    <row r="64" spans="1:18" s="3" customFormat="1">
      <c r="A64" s="185" t="s">
        <v>108</v>
      </c>
      <c r="B64" s="27" t="s">
        <v>109</v>
      </c>
      <c r="C64" s="42">
        <v>54</v>
      </c>
      <c r="D64" s="43">
        <v>36</v>
      </c>
      <c r="E64" s="47">
        <f>36/54</f>
        <v>0.66666666666666663</v>
      </c>
      <c r="F64" s="112"/>
      <c r="G64" s="283"/>
      <c r="H64" s="320">
        <v>63</v>
      </c>
      <c r="I64" s="320">
        <v>47</v>
      </c>
      <c r="J64" s="49">
        <f>47/63</f>
        <v>0.74603174603174605</v>
      </c>
      <c r="K64" s="49"/>
      <c r="L64" s="322"/>
      <c r="M64" s="187">
        <v>52</v>
      </c>
      <c r="N64" s="46">
        <v>43</v>
      </c>
      <c r="O64" s="40">
        <f>43/52</f>
        <v>0.82692307692307687</v>
      </c>
      <c r="P64" s="333"/>
    </row>
    <row r="65" spans="1:18">
      <c r="A65" s="182" t="s">
        <v>110</v>
      </c>
      <c r="B65" s="183" t="s">
        <v>111</v>
      </c>
      <c r="C65" s="42">
        <v>87</v>
      </c>
      <c r="D65" s="43">
        <v>48</v>
      </c>
      <c r="E65" s="47">
        <f>48/87</f>
        <v>0.55172413793103448</v>
      </c>
      <c r="F65" s="112"/>
      <c r="G65" s="48"/>
      <c r="H65" s="320">
        <v>114</v>
      </c>
      <c r="I65" s="320">
        <v>76</v>
      </c>
      <c r="J65" s="49">
        <f>76/114</f>
        <v>0.66666666666666663</v>
      </c>
      <c r="K65" s="49"/>
      <c r="L65" s="108"/>
      <c r="M65" s="187">
        <v>57</v>
      </c>
      <c r="N65" s="46">
        <v>43</v>
      </c>
      <c r="O65" s="40">
        <f>43/57</f>
        <v>0.75438596491228072</v>
      </c>
      <c r="P65" s="333"/>
      <c r="R65" s="3"/>
    </row>
    <row r="66" spans="1:18">
      <c r="A66" s="181" t="s">
        <v>112</v>
      </c>
      <c r="B66" s="30" t="s">
        <v>113</v>
      </c>
      <c r="C66" s="42">
        <v>108</v>
      </c>
      <c r="D66" s="43">
        <v>70</v>
      </c>
      <c r="E66" s="71">
        <v>0.65</v>
      </c>
      <c r="F66" s="107"/>
      <c r="G66" s="68"/>
      <c r="H66" s="320">
        <v>80</v>
      </c>
      <c r="I66" s="320">
        <v>54</v>
      </c>
      <c r="J66" s="49">
        <f>54/80</f>
        <v>0.67500000000000004</v>
      </c>
      <c r="K66" s="321"/>
      <c r="L66" s="108"/>
      <c r="M66" s="187">
        <v>49</v>
      </c>
      <c r="N66" s="46">
        <v>30</v>
      </c>
      <c r="O66" s="40">
        <f>30/49</f>
        <v>0.61224489795918369</v>
      </c>
      <c r="P66" s="333"/>
    </row>
    <row r="67" spans="1:18" s="3" customFormat="1">
      <c r="A67" s="185" t="s">
        <v>114</v>
      </c>
      <c r="B67" s="184" t="s">
        <v>115</v>
      </c>
      <c r="C67" s="42">
        <v>39</v>
      </c>
      <c r="D67" s="43">
        <v>36</v>
      </c>
      <c r="E67" s="71">
        <v>0.92</v>
      </c>
      <c r="F67" s="107"/>
      <c r="G67" s="53"/>
      <c r="H67" s="320">
        <v>97</v>
      </c>
      <c r="I67" s="320">
        <v>52</v>
      </c>
      <c r="J67" s="49">
        <f>52/97</f>
        <v>0.53608247422680411</v>
      </c>
      <c r="K67" s="321"/>
      <c r="L67" s="322"/>
      <c r="M67" s="187">
        <v>65</v>
      </c>
      <c r="N67" s="46">
        <v>55</v>
      </c>
      <c r="O67" s="40">
        <f>55/65</f>
        <v>0.84615384615384615</v>
      </c>
      <c r="P67" s="333"/>
      <c r="R67"/>
    </row>
    <row r="68" spans="1:18" s="3" customFormat="1">
      <c r="A68" s="185" t="s">
        <v>116</v>
      </c>
      <c r="B68" s="27" t="s">
        <v>117</v>
      </c>
      <c r="C68" s="42">
        <v>27</v>
      </c>
      <c r="D68" s="43">
        <v>26</v>
      </c>
      <c r="E68" s="115">
        <f>26/27</f>
        <v>0.96296296296296291</v>
      </c>
      <c r="F68" s="114"/>
      <c r="G68" s="323"/>
      <c r="H68" s="320">
        <v>38</v>
      </c>
      <c r="I68" s="320">
        <v>36</v>
      </c>
      <c r="J68" s="49">
        <f>36/38</f>
        <v>0.94736842105263153</v>
      </c>
      <c r="K68" s="321"/>
      <c r="L68" s="322"/>
      <c r="M68" s="187">
        <v>42</v>
      </c>
      <c r="N68" s="46">
        <v>37</v>
      </c>
      <c r="O68" s="40">
        <f>37/42</f>
        <v>0.88095238095238093</v>
      </c>
      <c r="P68" s="333"/>
    </row>
    <row r="69" spans="1:18" s="3" customFormat="1">
      <c r="A69" s="185" t="s">
        <v>118</v>
      </c>
      <c r="B69" s="184" t="s">
        <v>119</v>
      </c>
      <c r="C69" s="42">
        <v>34</v>
      </c>
      <c r="D69" s="43">
        <v>21</v>
      </c>
      <c r="E69" s="71">
        <v>0.62</v>
      </c>
      <c r="F69" s="107"/>
      <c r="G69" s="53"/>
      <c r="H69" s="320">
        <v>32</v>
      </c>
      <c r="I69" s="320">
        <v>14</v>
      </c>
      <c r="J69" s="49">
        <f>14/32</f>
        <v>0.4375</v>
      </c>
      <c r="K69" s="321"/>
      <c r="L69" s="322"/>
      <c r="M69" s="187">
        <v>38</v>
      </c>
      <c r="N69" s="46">
        <v>30</v>
      </c>
      <c r="O69" s="40">
        <f>30/38</f>
        <v>0.78947368421052633</v>
      </c>
      <c r="P69" s="333"/>
    </row>
    <row r="70" spans="1:18" s="3" customFormat="1">
      <c r="A70" s="185" t="s">
        <v>120</v>
      </c>
      <c r="B70" s="27" t="s">
        <v>121</v>
      </c>
      <c r="C70" s="42">
        <v>58</v>
      </c>
      <c r="D70" s="43">
        <v>39</v>
      </c>
      <c r="E70" s="71">
        <v>0.67</v>
      </c>
      <c r="F70" s="107"/>
      <c r="G70" s="53"/>
      <c r="H70" s="320">
        <v>55</v>
      </c>
      <c r="I70" s="320">
        <v>38</v>
      </c>
      <c r="J70" s="49">
        <f>38/55</f>
        <v>0.69090909090909092</v>
      </c>
      <c r="K70" s="321"/>
      <c r="L70" s="322"/>
      <c r="M70" s="187">
        <v>44</v>
      </c>
      <c r="N70" s="46">
        <v>36</v>
      </c>
      <c r="O70" s="40">
        <f>36/44</f>
        <v>0.81818181818181823</v>
      </c>
      <c r="P70" s="333"/>
    </row>
    <row r="71" spans="1:18">
      <c r="A71" s="181" t="s">
        <v>122</v>
      </c>
      <c r="B71" s="184" t="s">
        <v>123</v>
      </c>
      <c r="C71" s="42">
        <v>63</v>
      </c>
      <c r="D71" s="43">
        <v>37</v>
      </c>
      <c r="E71" s="71">
        <v>0.59</v>
      </c>
      <c r="F71" s="107"/>
      <c r="G71" s="68"/>
      <c r="H71" s="320">
        <v>83</v>
      </c>
      <c r="I71" s="320">
        <v>61</v>
      </c>
      <c r="J71" s="49">
        <f>61/83</f>
        <v>0.73493975903614461</v>
      </c>
      <c r="K71" s="321"/>
      <c r="L71" s="108"/>
      <c r="M71" s="187">
        <v>56</v>
      </c>
      <c r="N71" s="46">
        <v>42</v>
      </c>
      <c r="O71" s="40">
        <f>42/56</f>
        <v>0.75</v>
      </c>
      <c r="P71" s="333"/>
      <c r="R71" s="3"/>
    </row>
    <row r="72" spans="1:18" s="3" customFormat="1">
      <c r="A72" s="185" t="s">
        <v>213</v>
      </c>
      <c r="B72" s="228" t="s">
        <v>214</v>
      </c>
      <c r="C72" s="42">
        <v>46</v>
      </c>
      <c r="D72" s="43">
        <v>25</v>
      </c>
      <c r="E72" s="71">
        <v>0.54</v>
      </c>
      <c r="F72" s="107"/>
      <c r="G72" s="53"/>
      <c r="H72" s="320" t="s">
        <v>84</v>
      </c>
      <c r="I72" s="320"/>
      <c r="J72" s="49"/>
      <c r="K72" s="321"/>
      <c r="L72" s="322"/>
      <c r="M72" s="187">
        <v>43</v>
      </c>
      <c r="N72" s="46">
        <v>30</v>
      </c>
      <c r="O72" s="40">
        <f>30/46</f>
        <v>0.65217391304347827</v>
      </c>
      <c r="P72" s="333"/>
      <c r="R72"/>
    </row>
    <row r="73" spans="1:18">
      <c r="A73" s="181" t="s">
        <v>124</v>
      </c>
      <c r="B73" s="184" t="s">
        <v>125</v>
      </c>
      <c r="C73" s="42" t="s">
        <v>232</v>
      </c>
      <c r="D73" s="43"/>
      <c r="E73" s="43"/>
      <c r="F73" s="107"/>
      <c r="G73" s="68"/>
      <c r="H73" s="320">
        <v>99</v>
      </c>
      <c r="I73" s="320">
        <v>78</v>
      </c>
      <c r="J73" s="49">
        <f>78/99</f>
        <v>0.78787878787878785</v>
      </c>
      <c r="K73" s="321"/>
      <c r="L73" s="108"/>
      <c r="M73" s="188" t="s">
        <v>84</v>
      </c>
      <c r="N73" s="39"/>
      <c r="O73" s="72"/>
      <c r="P73" s="333"/>
      <c r="R73" s="3"/>
    </row>
    <row r="74" spans="1:18" s="3" customFormat="1">
      <c r="A74" s="185" t="s">
        <v>126</v>
      </c>
      <c r="B74" s="184" t="s">
        <v>127</v>
      </c>
      <c r="C74" s="42">
        <v>53</v>
      </c>
      <c r="D74" s="43">
        <v>38</v>
      </c>
      <c r="E74" s="71">
        <v>0.72</v>
      </c>
      <c r="F74" s="107"/>
      <c r="G74" s="53"/>
      <c r="H74" s="320">
        <v>45</v>
      </c>
      <c r="I74" s="320">
        <v>30</v>
      </c>
      <c r="J74" s="49">
        <f>30/45</f>
        <v>0.66666666666666663</v>
      </c>
      <c r="K74" s="321"/>
      <c r="L74" s="322"/>
      <c r="M74" s="187">
        <v>41</v>
      </c>
      <c r="N74" s="46">
        <v>28</v>
      </c>
      <c r="O74" s="40">
        <f>28/41</f>
        <v>0.68292682926829273</v>
      </c>
      <c r="P74" s="333"/>
      <c r="R74"/>
    </row>
    <row r="75" spans="1:18" s="3" customFormat="1">
      <c r="A75" s="185" t="s">
        <v>128</v>
      </c>
      <c r="B75" s="184" t="s">
        <v>129</v>
      </c>
      <c r="C75" s="42">
        <v>8</v>
      </c>
      <c r="D75" s="43">
        <v>2</v>
      </c>
      <c r="E75" s="71">
        <v>0.25</v>
      </c>
      <c r="F75" s="107"/>
      <c r="G75" s="53"/>
      <c r="H75" s="320">
        <v>15</v>
      </c>
      <c r="I75" s="320">
        <v>8</v>
      </c>
      <c r="J75" s="49">
        <f>8/15</f>
        <v>0.53333333333333333</v>
      </c>
      <c r="K75" s="321"/>
      <c r="L75" s="322"/>
      <c r="M75" s="46">
        <v>19</v>
      </c>
      <c r="N75" s="46">
        <v>9</v>
      </c>
      <c r="O75" s="72">
        <f>9/19</f>
        <v>0.47368421052631576</v>
      </c>
      <c r="P75" s="333"/>
    </row>
    <row r="76" spans="1:18">
      <c r="A76" s="185" t="s">
        <v>130</v>
      </c>
      <c r="B76" s="184" t="s">
        <v>131</v>
      </c>
      <c r="C76" s="42">
        <v>101</v>
      </c>
      <c r="D76" s="43">
        <v>58</v>
      </c>
      <c r="E76" s="71">
        <v>0.56999999999999995</v>
      </c>
      <c r="F76" s="107"/>
      <c r="G76" s="68"/>
      <c r="H76" s="320">
        <v>119</v>
      </c>
      <c r="I76" s="320">
        <v>75</v>
      </c>
      <c r="J76" s="49">
        <f>75/119</f>
        <v>0.63025210084033612</v>
      </c>
      <c r="K76" s="321"/>
      <c r="L76" s="108"/>
      <c r="M76" s="187">
        <v>92</v>
      </c>
      <c r="N76" s="46">
        <v>65</v>
      </c>
      <c r="O76" s="40">
        <f>65/92</f>
        <v>0.70652173913043481</v>
      </c>
      <c r="P76" s="333"/>
      <c r="R76" s="3"/>
    </row>
    <row r="77" spans="1:18">
      <c r="A77" s="29" t="s">
        <v>132</v>
      </c>
      <c r="B77" s="184" t="s">
        <v>133</v>
      </c>
      <c r="C77" s="42" t="s">
        <v>232</v>
      </c>
      <c r="D77" s="43"/>
      <c r="E77" s="43"/>
      <c r="F77" s="107"/>
      <c r="G77" s="68"/>
      <c r="H77" s="320">
        <v>23</v>
      </c>
      <c r="I77" s="320">
        <v>13</v>
      </c>
      <c r="J77" s="49">
        <f>13/23</f>
        <v>0.56521739130434778</v>
      </c>
      <c r="K77" s="321"/>
      <c r="L77" s="108"/>
      <c r="M77" s="187">
        <v>52</v>
      </c>
      <c r="N77" s="46">
        <v>31</v>
      </c>
      <c r="O77" s="40">
        <f>31/52</f>
        <v>0.59615384615384615</v>
      </c>
      <c r="P77" s="333"/>
    </row>
    <row r="78" spans="1:18">
      <c r="A78" s="186" t="s">
        <v>134</v>
      </c>
      <c r="B78" s="183" t="s">
        <v>135</v>
      </c>
      <c r="C78" s="110" t="s">
        <v>232</v>
      </c>
      <c r="D78" s="111"/>
      <c r="E78" s="115"/>
      <c r="F78" s="114"/>
      <c r="G78" s="116"/>
      <c r="H78" s="320">
        <v>10</v>
      </c>
      <c r="I78" s="320">
        <v>4</v>
      </c>
      <c r="J78" s="49">
        <f>4/10</f>
        <v>0.4</v>
      </c>
      <c r="K78" s="321"/>
      <c r="L78" s="108"/>
      <c r="M78" s="188" t="s">
        <v>84</v>
      </c>
      <c r="N78" s="39"/>
      <c r="O78" s="72"/>
      <c r="P78" s="333"/>
    </row>
    <row r="79" spans="1:18" ht="15" thickBot="1">
      <c r="A79" s="29" t="s">
        <v>136</v>
      </c>
      <c r="B79" s="184" t="s">
        <v>133</v>
      </c>
      <c r="C79" s="110">
        <v>63</v>
      </c>
      <c r="D79" s="326">
        <v>42</v>
      </c>
      <c r="E79" s="327">
        <f>42/63</f>
        <v>0.66666666666666663</v>
      </c>
      <c r="F79" s="328"/>
      <c r="G79" s="116"/>
      <c r="H79" s="256">
        <v>77</v>
      </c>
      <c r="I79" s="256">
        <v>56</v>
      </c>
      <c r="J79" s="49">
        <f>56/77</f>
        <v>0.72727272727272729</v>
      </c>
      <c r="K79" s="113"/>
      <c r="L79" s="108"/>
      <c r="M79" s="334" t="s">
        <v>84</v>
      </c>
      <c r="N79" s="226"/>
      <c r="O79" s="221"/>
      <c r="P79" s="335"/>
    </row>
    <row r="80" spans="1:18" ht="15" thickBot="1">
      <c r="A80" s="117"/>
      <c r="B80" s="118"/>
      <c r="C80" s="119">
        <f>SUM(C50:C79)</f>
        <v>1536</v>
      </c>
      <c r="D80" s="119">
        <f>SUM(D50:D79)</f>
        <v>1041</v>
      </c>
      <c r="E80" s="6">
        <f>1041/1536</f>
        <v>0.677734375</v>
      </c>
      <c r="F80" s="74"/>
      <c r="G80" s="7"/>
      <c r="H80" s="9">
        <f>SUM(H50:H79)</f>
        <v>1905</v>
      </c>
      <c r="I80" s="9">
        <f>SUM(I50:I79)</f>
        <v>1361</v>
      </c>
      <c r="J80" s="10">
        <f>1360/1904</f>
        <v>0.7142857142857143</v>
      </c>
      <c r="K80" s="10"/>
      <c r="L80" s="11"/>
      <c r="M80" s="24">
        <v>1274</v>
      </c>
      <c r="N80" s="13">
        <v>959</v>
      </c>
      <c r="O80" s="14">
        <f>959/1274</f>
        <v>0.75274725274725274</v>
      </c>
      <c r="P80" s="121"/>
    </row>
    <row r="81" spans="1:16" ht="15" thickBot="1">
      <c r="A81" s="109"/>
      <c r="B81" s="122"/>
      <c r="C81" s="60"/>
      <c r="D81" s="60"/>
      <c r="E81" s="76"/>
      <c r="F81" s="76"/>
      <c r="G81" s="76"/>
      <c r="H81" s="60"/>
      <c r="I81" s="60"/>
      <c r="J81" s="76"/>
      <c r="K81" s="76"/>
      <c r="L81" s="75"/>
      <c r="M81" s="75"/>
      <c r="N81" s="75"/>
      <c r="O81" s="76"/>
      <c r="P81" s="76"/>
    </row>
    <row r="82" spans="1:16">
      <c r="A82" s="77" t="s">
        <v>41</v>
      </c>
      <c r="B82" s="78" t="s">
        <v>42</v>
      </c>
      <c r="C82" s="79">
        <v>566</v>
      </c>
      <c r="D82" s="79">
        <v>431</v>
      </c>
      <c r="E82" s="80">
        <f>431/566</f>
        <v>0.7614840989399293</v>
      </c>
      <c r="F82" s="80"/>
      <c r="G82" s="81"/>
      <c r="H82" s="82">
        <v>702</v>
      </c>
      <c r="I82" s="82">
        <v>489</v>
      </c>
      <c r="J82" s="83">
        <f>489/702</f>
        <v>0.69658119658119655</v>
      </c>
      <c r="K82" s="83"/>
      <c r="L82" s="84"/>
      <c r="M82" s="85">
        <v>524</v>
      </c>
      <c r="N82" s="85">
        <v>405</v>
      </c>
      <c r="O82" s="86">
        <f>405/524</f>
        <v>0.77290076335877866</v>
      </c>
      <c r="P82" s="148"/>
    </row>
    <row r="83" spans="1:16" ht="15" thickBot="1">
      <c r="A83" s="87" t="s">
        <v>46</v>
      </c>
      <c r="B83" s="88" t="s">
        <v>44</v>
      </c>
      <c r="C83" s="89">
        <v>970</v>
      </c>
      <c r="D83" s="89">
        <v>610</v>
      </c>
      <c r="E83" s="90">
        <f>610/970</f>
        <v>0.62886597938144329</v>
      </c>
      <c r="F83" s="90"/>
      <c r="G83" s="91"/>
      <c r="H83" s="123">
        <v>1203</v>
      </c>
      <c r="I83" s="123">
        <v>872</v>
      </c>
      <c r="J83" s="124">
        <f>872/1203</f>
        <v>0.7248545303408146</v>
      </c>
      <c r="K83" s="93"/>
      <c r="L83" s="94"/>
      <c r="M83" s="95">
        <v>750</v>
      </c>
      <c r="N83" s="95">
        <v>554</v>
      </c>
      <c r="O83" s="96">
        <f>554/750</f>
        <v>0.73866666666666669</v>
      </c>
      <c r="P83" s="149"/>
    </row>
    <row r="84" spans="1:16" ht="15" thickBot="1">
      <c r="A84" s="60"/>
      <c r="B84" s="60"/>
      <c r="C84" s="75"/>
      <c r="D84" s="75"/>
      <c r="E84" s="76"/>
      <c r="F84" s="76"/>
      <c r="G84" s="76"/>
      <c r="H84" s="125"/>
      <c r="I84" s="125"/>
      <c r="J84" s="126"/>
      <c r="K84" s="76"/>
      <c r="L84" s="75"/>
      <c r="M84" s="75"/>
      <c r="N84" s="75"/>
      <c r="O84" s="76"/>
    </row>
    <row r="85" spans="1:16">
      <c r="A85" s="127" t="s">
        <v>47</v>
      </c>
      <c r="B85" s="128"/>
      <c r="C85" s="129"/>
      <c r="D85" s="129">
        <v>589</v>
      </c>
      <c r="E85" s="130"/>
      <c r="F85" s="130"/>
      <c r="G85" s="130"/>
      <c r="H85" s="131"/>
      <c r="I85" s="131">
        <v>563</v>
      </c>
      <c r="J85" s="132"/>
      <c r="K85" s="130"/>
      <c r="L85" s="129"/>
      <c r="M85" s="129"/>
      <c r="N85" s="129">
        <v>517</v>
      </c>
      <c r="O85" s="133"/>
    </row>
    <row r="86" spans="1:16">
      <c r="A86" s="134" t="s">
        <v>48</v>
      </c>
      <c r="B86" s="135"/>
      <c r="C86" s="35"/>
      <c r="D86" s="62">
        <v>1041</v>
      </c>
      <c r="E86" s="35"/>
      <c r="F86" s="35"/>
      <c r="G86" s="35"/>
      <c r="H86" s="35"/>
      <c r="I86" s="62">
        <v>1361</v>
      </c>
      <c r="J86" s="35"/>
      <c r="K86" s="35"/>
      <c r="L86" s="35"/>
      <c r="M86" s="35"/>
      <c r="N86" s="62">
        <v>959</v>
      </c>
      <c r="O86" s="37"/>
    </row>
    <row r="87" spans="1:16" ht="15" thickBot="1">
      <c r="A87" s="136" t="s">
        <v>49</v>
      </c>
      <c r="B87" s="135"/>
      <c r="C87" s="137"/>
      <c r="D87" s="138">
        <f>SUM(D85:D86)</f>
        <v>1630</v>
      </c>
      <c r="E87" s="137"/>
      <c r="F87" s="137"/>
      <c r="G87" s="137"/>
      <c r="H87" s="137"/>
      <c r="I87" s="138">
        <f>SUM(I85:I86)</f>
        <v>1924</v>
      </c>
      <c r="J87" s="137"/>
      <c r="K87" s="137"/>
      <c r="L87" s="137"/>
      <c r="M87" s="137"/>
      <c r="N87" s="138">
        <f>SUM(N85:N86)</f>
        <v>1476</v>
      </c>
      <c r="O87" s="139"/>
    </row>
    <row r="88" spans="1:16" ht="15" thickBot="1">
      <c r="A88" s="104" t="s">
        <v>50</v>
      </c>
      <c r="B88" s="140"/>
      <c r="C88" s="140"/>
      <c r="D88" s="140" t="s">
        <v>51</v>
      </c>
      <c r="E88" s="141">
        <v>4495</v>
      </c>
      <c r="F88" s="141"/>
      <c r="G88" s="140"/>
      <c r="H88" s="140"/>
      <c r="I88" s="140" t="s">
        <v>51</v>
      </c>
      <c r="J88" s="140">
        <v>4485</v>
      </c>
      <c r="K88" s="140"/>
      <c r="L88" s="140"/>
      <c r="M88" s="140"/>
      <c r="N88" s="140" t="s">
        <v>51</v>
      </c>
      <c r="O88" s="299">
        <v>3766</v>
      </c>
      <c r="P88" s="27"/>
    </row>
    <row r="89" spans="1:16" ht="15" thickBot="1">
      <c r="A89" s="60"/>
      <c r="B89" s="75"/>
      <c r="C89" s="75"/>
      <c r="D89" s="75"/>
      <c r="E89" s="60"/>
      <c r="F89" s="60"/>
      <c r="G89" s="75"/>
      <c r="H89" s="75"/>
      <c r="I89" s="75"/>
      <c r="J89" s="75"/>
      <c r="K89" s="75"/>
      <c r="L89" s="75"/>
      <c r="M89" s="75"/>
      <c r="N89" s="75"/>
      <c r="O89" s="75"/>
      <c r="P89" s="27"/>
    </row>
    <row r="90" spans="1:16" ht="15" thickBot="1">
      <c r="A90" s="104" t="s">
        <v>228</v>
      </c>
      <c r="B90" s="209"/>
      <c r="C90" s="53"/>
      <c r="D90" s="53"/>
      <c r="E90" s="53"/>
      <c r="F90" s="53"/>
      <c r="G90" s="53"/>
      <c r="H90" s="53"/>
      <c r="I90" s="98"/>
      <c r="J90" s="27"/>
      <c r="K90" s="27"/>
      <c r="L90" s="27"/>
      <c r="M90" s="27"/>
      <c r="N90" s="27"/>
      <c r="O90" s="98"/>
      <c r="P90" s="27"/>
    </row>
    <row r="91" spans="1:16">
      <c r="A91" s="300" t="s">
        <v>81</v>
      </c>
      <c r="B91" s="301" t="s">
        <v>82</v>
      </c>
      <c r="C91" s="268">
        <v>100</v>
      </c>
      <c r="D91" s="268">
        <v>70</v>
      </c>
      <c r="E91" s="324">
        <v>0.7</v>
      </c>
      <c r="F91" s="268"/>
      <c r="G91" s="269"/>
      <c r="H91" s="270">
        <v>282</v>
      </c>
      <c r="I91" s="270">
        <v>198</v>
      </c>
      <c r="J91" s="271">
        <f>198/282</f>
        <v>0.7021276595744681</v>
      </c>
      <c r="K91" s="271"/>
      <c r="L91" s="272"/>
      <c r="M91" s="273">
        <v>217</v>
      </c>
      <c r="N91" s="274">
        <v>153</v>
      </c>
      <c r="O91" s="297">
        <f>153/217</f>
        <v>0.70506912442396308</v>
      </c>
      <c r="P91" s="283"/>
    </row>
    <row r="92" spans="1:16">
      <c r="A92" s="337" t="s">
        <v>236</v>
      </c>
      <c r="B92" s="338" t="s">
        <v>237</v>
      </c>
      <c r="C92" s="43">
        <v>105</v>
      </c>
      <c r="D92" s="43">
        <v>58</v>
      </c>
      <c r="E92" s="71">
        <v>0.55000000000000004</v>
      </c>
      <c r="F92" s="43"/>
      <c r="G92" s="68"/>
      <c r="H92" s="44" t="s">
        <v>238</v>
      </c>
      <c r="I92" s="44"/>
      <c r="J92" s="49"/>
      <c r="K92" s="49"/>
      <c r="L92" s="38"/>
      <c r="M92" s="46" t="s">
        <v>238</v>
      </c>
      <c r="N92" s="52"/>
      <c r="O92" s="332"/>
      <c r="P92" s="283"/>
    </row>
    <row r="93" spans="1:16" ht="15" thickBot="1">
      <c r="A93" s="302" t="s">
        <v>40</v>
      </c>
      <c r="B93" s="303" t="s">
        <v>83</v>
      </c>
      <c r="C93" s="277">
        <v>204</v>
      </c>
      <c r="D93" s="277">
        <v>144</v>
      </c>
      <c r="E93" s="278">
        <f>144/204</f>
        <v>0.70588235294117652</v>
      </c>
      <c r="F93" s="278"/>
      <c r="G93" s="279"/>
      <c r="H93" s="280">
        <v>200</v>
      </c>
      <c r="I93" s="280">
        <v>153</v>
      </c>
      <c r="J93" s="281">
        <f>153/200</f>
        <v>0.76500000000000001</v>
      </c>
      <c r="K93" s="281"/>
      <c r="L93" s="282"/>
      <c r="M93" s="176">
        <v>164</v>
      </c>
      <c r="N93" s="169">
        <v>111</v>
      </c>
      <c r="O93" s="298">
        <f>111/164</f>
        <v>0.67682926829268297</v>
      </c>
      <c r="P93" s="283"/>
    </row>
    <row r="94" spans="1:16" ht="15" thickBot="1">
      <c r="A94" s="276"/>
      <c r="B94" s="296"/>
      <c r="C94" s="304"/>
      <c r="D94" s="304"/>
      <c r="E94" s="305"/>
      <c r="F94" s="305"/>
      <c r="G94" s="305"/>
      <c r="H94" s="304"/>
      <c r="I94" s="304"/>
      <c r="J94" s="305"/>
      <c r="K94" s="305"/>
      <c r="L94" s="306"/>
      <c r="M94" s="307"/>
      <c r="N94" s="307"/>
      <c r="O94" s="308"/>
      <c r="P94" s="283"/>
    </row>
    <row r="95" spans="1:16" ht="15" thickBot="1">
      <c r="A95" s="104" t="s">
        <v>52</v>
      </c>
      <c r="B95" s="141" t="s">
        <v>53</v>
      </c>
      <c r="C95" s="341"/>
      <c r="D95" s="262" t="s">
        <v>51</v>
      </c>
      <c r="E95" s="262"/>
      <c r="F95" s="342">
        <v>179</v>
      </c>
      <c r="G95" s="262"/>
      <c r="H95" s="341"/>
      <c r="I95" s="262" t="s">
        <v>51</v>
      </c>
      <c r="J95" s="129">
        <v>183</v>
      </c>
      <c r="K95" s="342"/>
      <c r="L95" s="129"/>
      <c r="M95" s="341"/>
      <c r="N95" s="262" t="s">
        <v>51</v>
      </c>
      <c r="O95" s="347">
        <v>168</v>
      </c>
      <c r="P95" s="27"/>
    </row>
    <row r="96" spans="1:16" ht="15" thickBot="1">
      <c r="A96" s="104" t="s">
        <v>54</v>
      </c>
      <c r="B96" s="141" t="s">
        <v>55</v>
      </c>
      <c r="C96" s="343"/>
      <c r="D96" s="344" t="s">
        <v>51</v>
      </c>
      <c r="E96" s="344"/>
      <c r="F96" s="346">
        <v>3</v>
      </c>
      <c r="G96" s="339"/>
      <c r="H96" s="343"/>
      <c r="I96" s="344" t="s">
        <v>51</v>
      </c>
      <c r="J96" s="345">
        <v>18</v>
      </c>
      <c r="K96" s="346"/>
      <c r="L96" s="340"/>
      <c r="M96" s="348"/>
      <c r="N96" s="344" t="s">
        <v>51</v>
      </c>
      <c r="O96" s="349">
        <v>14</v>
      </c>
      <c r="P96" s="27"/>
    </row>
    <row r="97" spans="1:15" ht="15" thickBot="1">
      <c r="A97" s="53"/>
      <c r="B97" s="53"/>
      <c r="C97" s="53"/>
      <c r="D97" s="53"/>
      <c r="E97" s="53"/>
      <c r="F97" s="53"/>
      <c r="G97" s="27"/>
      <c r="H97" s="27"/>
      <c r="I97" s="27"/>
      <c r="J97" s="27"/>
      <c r="K97" s="27"/>
      <c r="L97" s="27"/>
      <c r="M97" s="27"/>
      <c r="N97" s="27"/>
      <c r="O97" s="27"/>
    </row>
    <row r="98" spans="1:15" ht="15" thickBot="1">
      <c r="A98" s="104" t="s">
        <v>56</v>
      </c>
      <c r="B98" s="16"/>
      <c r="C98" s="142"/>
      <c r="D98" s="142" t="s">
        <v>51</v>
      </c>
      <c r="E98" s="142" t="s">
        <v>235</v>
      </c>
      <c r="F98" s="142"/>
      <c r="G98" s="143"/>
      <c r="H98" s="143"/>
      <c r="I98" s="143" t="s">
        <v>51</v>
      </c>
      <c r="J98" s="143">
        <v>211</v>
      </c>
      <c r="K98" s="143"/>
      <c r="L98" s="143"/>
      <c r="M98" s="143"/>
      <c r="N98" s="143" t="s">
        <v>51</v>
      </c>
      <c r="O98" s="144">
        <v>193</v>
      </c>
    </row>
    <row r="99" spans="1:15">
      <c r="F99" s="27"/>
      <c r="G99" s="27"/>
      <c r="H99" s="27"/>
    </row>
    <row r="100" spans="1:15">
      <c r="A100" s="53"/>
      <c r="B100" s="60"/>
      <c r="C100" s="60"/>
      <c r="D100" s="106"/>
      <c r="E100" s="60"/>
      <c r="F100" s="60"/>
      <c r="G100" s="27"/>
      <c r="H100" s="27"/>
      <c r="I100" s="27"/>
      <c r="J100" s="27"/>
      <c r="K100" s="27"/>
      <c r="L100" s="27"/>
      <c r="M100" s="27"/>
      <c r="N100" s="27"/>
      <c r="O100" s="2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opLeftCell="A23" zoomScaleNormal="100" workbookViewId="0">
      <selection activeCell="E6" sqref="E6:E32"/>
    </sheetView>
  </sheetViews>
  <sheetFormatPr defaultRowHeight="14.5"/>
  <cols>
    <col min="1" max="1" width="11.453125" customWidth="1"/>
  </cols>
  <sheetData>
    <row r="1" spans="1:12">
      <c r="A1" s="1" t="s">
        <v>137</v>
      </c>
      <c r="F1" s="189"/>
    </row>
    <row r="2" spans="1:12" ht="15" thickBot="1">
      <c r="F2" s="189"/>
    </row>
    <row r="3" spans="1:12" ht="15" thickBot="1">
      <c r="A3" s="190"/>
      <c r="B3" s="191"/>
      <c r="C3" s="192"/>
      <c r="D3" s="193"/>
      <c r="E3" s="79" t="s">
        <v>57</v>
      </c>
      <c r="F3" s="362"/>
      <c r="G3" s="82"/>
      <c r="H3" s="82" t="s">
        <v>58</v>
      </c>
      <c r="I3" s="82"/>
      <c r="J3" s="350"/>
      <c r="K3" s="85" t="s">
        <v>59</v>
      </c>
      <c r="L3" s="353"/>
    </row>
    <row r="4" spans="1:12" ht="15" thickBot="1">
      <c r="A4" s="196" t="s">
        <v>138</v>
      </c>
      <c r="B4" s="16"/>
      <c r="C4" s="197"/>
      <c r="D4" s="17" t="s">
        <v>4</v>
      </c>
      <c r="E4" s="18" t="s">
        <v>5</v>
      </c>
      <c r="F4" s="363" t="s">
        <v>6</v>
      </c>
      <c r="G4" s="9" t="s">
        <v>4</v>
      </c>
      <c r="H4" s="22" t="s">
        <v>5</v>
      </c>
      <c r="I4" s="23" t="s">
        <v>6</v>
      </c>
      <c r="J4" s="24" t="s">
        <v>4</v>
      </c>
      <c r="K4" s="25" t="s">
        <v>5</v>
      </c>
      <c r="L4" s="145" t="s">
        <v>6</v>
      </c>
    </row>
    <row r="5" spans="1:12">
      <c r="A5" s="225" t="s">
        <v>186</v>
      </c>
      <c r="B5" s="41" t="s">
        <v>187</v>
      </c>
      <c r="C5" s="200"/>
      <c r="D5" s="51"/>
      <c r="E5" s="32"/>
      <c r="F5" s="364"/>
      <c r="G5" s="35" t="s">
        <v>209</v>
      </c>
      <c r="H5" s="35"/>
      <c r="I5" s="36"/>
      <c r="J5" s="187">
        <v>26</v>
      </c>
      <c r="K5" s="46">
        <v>19</v>
      </c>
      <c r="L5" s="367">
        <f>19/26</f>
        <v>0.73076923076923073</v>
      </c>
    </row>
    <row r="6" spans="1:12">
      <c r="A6" s="50" t="s">
        <v>188</v>
      </c>
      <c r="B6" s="41" t="s">
        <v>187</v>
      </c>
      <c r="C6" s="200"/>
      <c r="D6" s="254">
        <v>146</v>
      </c>
      <c r="E6" s="43">
        <v>142</v>
      </c>
      <c r="F6" s="364"/>
      <c r="G6" s="44">
        <v>153</v>
      </c>
      <c r="H6" s="44">
        <v>140</v>
      </c>
      <c r="I6" s="36">
        <f>140/153</f>
        <v>0.91503267973856206</v>
      </c>
      <c r="J6" s="187">
        <v>142</v>
      </c>
      <c r="K6" s="46">
        <v>122</v>
      </c>
      <c r="L6" s="367">
        <f>122/142</f>
        <v>0.85915492957746475</v>
      </c>
    </row>
    <row r="7" spans="1:12">
      <c r="A7" s="50" t="s">
        <v>189</v>
      </c>
      <c r="B7" s="53" t="s">
        <v>190</v>
      </c>
      <c r="C7" s="200"/>
      <c r="D7" s="254">
        <v>125</v>
      </c>
      <c r="E7" s="43">
        <v>122</v>
      </c>
      <c r="F7" s="364"/>
      <c r="G7" s="44">
        <v>133</v>
      </c>
      <c r="H7" s="44">
        <v>128</v>
      </c>
      <c r="I7" s="36">
        <f>128/133</f>
        <v>0.96240601503759393</v>
      </c>
      <c r="J7" s="188" t="s">
        <v>84</v>
      </c>
      <c r="K7" s="39"/>
      <c r="L7" s="367"/>
    </row>
    <row r="8" spans="1:12">
      <c r="A8" s="50" t="s">
        <v>139</v>
      </c>
      <c r="B8" s="41" t="s">
        <v>140</v>
      </c>
      <c r="C8" s="200"/>
      <c r="D8" s="43" t="s">
        <v>231</v>
      </c>
      <c r="E8" s="43"/>
      <c r="F8" s="364"/>
      <c r="G8" s="44">
        <v>55</v>
      </c>
      <c r="H8" s="44">
        <v>52</v>
      </c>
      <c r="I8" s="36">
        <f>52/55</f>
        <v>0.94545454545454544</v>
      </c>
      <c r="J8" s="188">
        <v>66</v>
      </c>
      <c r="K8" s="39">
        <v>62</v>
      </c>
      <c r="L8" s="367">
        <f>62/66</f>
        <v>0.93939393939393945</v>
      </c>
    </row>
    <row r="9" spans="1:12">
      <c r="A9" s="50" t="s">
        <v>141</v>
      </c>
      <c r="B9" s="41" t="s">
        <v>142</v>
      </c>
      <c r="C9" s="200"/>
      <c r="D9" s="254">
        <v>13</v>
      </c>
      <c r="E9" s="43">
        <v>8</v>
      </c>
      <c r="F9" s="364"/>
      <c r="G9" s="44">
        <v>10</v>
      </c>
      <c r="H9" s="44">
        <v>7</v>
      </c>
      <c r="I9" s="36">
        <f>7/10</f>
        <v>0.7</v>
      </c>
      <c r="J9" s="188">
        <v>5</v>
      </c>
      <c r="K9" s="39">
        <v>2</v>
      </c>
      <c r="L9" s="367">
        <f>2/5</f>
        <v>0.4</v>
      </c>
    </row>
    <row r="10" spans="1:12">
      <c r="A10" s="50" t="s">
        <v>191</v>
      </c>
      <c r="B10" s="41" t="s">
        <v>192</v>
      </c>
      <c r="C10" s="200"/>
      <c r="D10" s="254">
        <v>87</v>
      </c>
      <c r="E10" s="43">
        <v>76</v>
      </c>
      <c r="F10" s="364"/>
      <c r="G10" s="44">
        <v>82</v>
      </c>
      <c r="H10" s="44">
        <v>68</v>
      </c>
      <c r="I10" s="36">
        <f>68/82</f>
        <v>0.82926829268292679</v>
      </c>
      <c r="J10" s="188">
        <v>85</v>
      </c>
      <c r="K10" s="39">
        <v>73</v>
      </c>
      <c r="L10" s="367">
        <f>73/85</f>
        <v>0.85882352941176465</v>
      </c>
    </row>
    <row r="11" spans="1:12">
      <c r="A11" s="50" t="s">
        <v>143</v>
      </c>
      <c r="B11" s="229" t="s">
        <v>144</v>
      </c>
      <c r="C11" s="41"/>
      <c r="D11" s="254">
        <v>69</v>
      </c>
      <c r="E11" s="43">
        <v>64</v>
      </c>
      <c r="F11" s="364"/>
      <c r="G11" s="44"/>
      <c r="H11" s="44"/>
      <c r="I11" s="36"/>
      <c r="J11" s="188"/>
      <c r="K11" s="39"/>
      <c r="L11" s="367"/>
    </row>
    <row r="12" spans="1:12">
      <c r="A12" s="50" t="s">
        <v>145</v>
      </c>
      <c r="B12" s="41" t="s">
        <v>146</v>
      </c>
      <c r="C12" s="202"/>
      <c r="D12" s="43" t="s">
        <v>232</v>
      </c>
      <c r="E12" s="43"/>
      <c r="F12" s="364"/>
      <c r="G12" s="44">
        <v>79</v>
      </c>
      <c r="H12" s="44">
        <v>61</v>
      </c>
      <c r="I12" s="36">
        <f>61/79</f>
        <v>0.77215189873417722</v>
      </c>
      <c r="J12" s="188">
        <v>1</v>
      </c>
      <c r="K12" s="39">
        <v>1</v>
      </c>
      <c r="L12" s="367">
        <v>1</v>
      </c>
    </row>
    <row r="13" spans="1:12">
      <c r="A13" s="50" t="s">
        <v>147</v>
      </c>
      <c r="B13" s="41" t="s">
        <v>215</v>
      </c>
      <c r="C13" s="41"/>
      <c r="D13" s="43">
        <v>1</v>
      </c>
      <c r="E13" s="43">
        <v>1</v>
      </c>
      <c r="F13" s="364"/>
      <c r="G13" s="44"/>
      <c r="H13" s="44"/>
      <c r="I13" s="36"/>
      <c r="J13" s="188"/>
      <c r="K13" s="39"/>
      <c r="L13" s="367"/>
    </row>
    <row r="14" spans="1:12">
      <c r="A14" s="50" t="s">
        <v>193</v>
      </c>
      <c r="B14" s="53" t="s">
        <v>194</v>
      </c>
      <c r="C14" s="200"/>
      <c r="D14" s="43" t="s">
        <v>232</v>
      </c>
      <c r="E14" s="43"/>
      <c r="F14" s="364"/>
      <c r="G14" s="44">
        <v>76</v>
      </c>
      <c r="H14" s="44">
        <v>55</v>
      </c>
      <c r="I14" s="36">
        <f>55/76</f>
        <v>0.72368421052631582</v>
      </c>
      <c r="J14" s="188" t="s">
        <v>210</v>
      </c>
      <c r="K14" s="39"/>
      <c r="L14" s="367"/>
    </row>
    <row r="15" spans="1:12">
      <c r="A15" s="50" t="s">
        <v>195</v>
      </c>
      <c r="B15" s="41" t="s">
        <v>196</v>
      </c>
      <c r="C15" s="200"/>
      <c r="D15" s="43" t="s">
        <v>232</v>
      </c>
      <c r="E15" s="43"/>
      <c r="F15" s="364"/>
      <c r="G15" s="44" t="s">
        <v>84</v>
      </c>
      <c r="H15" s="44"/>
      <c r="I15" s="36"/>
      <c r="J15" s="188">
        <v>71</v>
      </c>
      <c r="K15" s="39">
        <v>65</v>
      </c>
      <c r="L15" s="367">
        <f>65/71</f>
        <v>0.91549295774647887</v>
      </c>
    </row>
    <row r="16" spans="1:12">
      <c r="A16" s="50" t="s">
        <v>197</v>
      </c>
      <c r="B16" s="41" t="s">
        <v>198</v>
      </c>
      <c r="C16" s="200"/>
      <c r="D16" s="43" t="s">
        <v>84</v>
      </c>
      <c r="E16" s="43"/>
      <c r="F16" s="364"/>
      <c r="G16" s="44">
        <v>69</v>
      </c>
      <c r="H16" s="44">
        <v>51</v>
      </c>
      <c r="I16" s="36">
        <f>51/69</f>
        <v>0.73913043478260865</v>
      </c>
      <c r="J16" s="188">
        <v>58</v>
      </c>
      <c r="K16" s="39">
        <v>35</v>
      </c>
      <c r="L16" s="367">
        <f>35/58</f>
        <v>0.60344827586206895</v>
      </c>
    </row>
    <row r="17" spans="1:12">
      <c r="A17" s="50" t="s">
        <v>199</v>
      </c>
      <c r="B17" s="41" t="s">
        <v>140</v>
      </c>
      <c r="C17" s="200"/>
      <c r="D17" s="254">
        <v>21</v>
      </c>
      <c r="E17" s="43">
        <v>20</v>
      </c>
      <c r="F17" s="364"/>
      <c r="G17" s="44">
        <v>18</v>
      </c>
      <c r="H17" s="44">
        <v>17</v>
      </c>
      <c r="I17" s="36">
        <f>17/18</f>
        <v>0.94444444444444442</v>
      </c>
      <c r="J17" s="188">
        <v>19</v>
      </c>
      <c r="K17" s="39">
        <v>17</v>
      </c>
      <c r="L17" s="367">
        <f>17/19</f>
        <v>0.89473684210526316</v>
      </c>
    </row>
    <row r="18" spans="1:12">
      <c r="A18" s="232" t="s">
        <v>217</v>
      </c>
      <c r="B18" s="233" t="s">
        <v>219</v>
      </c>
      <c r="C18" s="200"/>
      <c r="D18" s="254">
        <v>34</v>
      </c>
      <c r="E18" s="43">
        <v>31</v>
      </c>
      <c r="F18" s="364"/>
      <c r="G18" s="44"/>
      <c r="H18" s="44"/>
      <c r="I18" s="36"/>
      <c r="J18" s="188"/>
      <c r="K18" s="39"/>
      <c r="L18" s="367"/>
    </row>
    <row r="19" spans="1:12">
      <c r="A19" s="232" t="s">
        <v>218</v>
      </c>
      <c r="B19" s="233" t="s">
        <v>220</v>
      </c>
      <c r="C19" s="200"/>
      <c r="D19" s="254">
        <v>28</v>
      </c>
      <c r="E19" s="43">
        <v>28</v>
      </c>
      <c r="F19" s="364"/>
      <c r="G19" s="44"/>
      <c r="H19" s="44"/>
      <c r="I19" s="36"/>
      <c r="J19" s="188"/>
      <c r="K19" s="39"/>
      <c r="L19" s="367"/>
    </row>
    <row r="20" spans="1:12">
      <c r="A20" s="50" t="s">
        <v>149</v>
      </c>
      <c r="B20" s="53" t="s">
        <v>200</v>
      </c>
      <c r="C20" s="200"/>
      <c r="D20" s="43" t="s">
        <v>232</v>
      </c>
      <c r="E20" s="43"/>
      <c r="F20" s="364"/>
      <c r="G20" s="44">
        <v>11</v>
      </c>
      <c r="H20" s="44">
        <v>9</v>
      </c>
      <c r="I20" s="36">
        <f>9/11</f>
        <v>0.81818181818181823</v>
      </c>
      <c r="J20" s="188" t="s">
        <v>84</v>
      </c>
      <c r="K20" s="39"/>
      <c r="L20" s="367"/>
    </row>
    <row r="21" spans="1:12">
      <c r="A21" s="50" t="s">
        <v>216</v>
      </c>
      <c r="B21" s="230" t="s">
        <v>192</v>
      </c>
      <c r="C21" s="200"/>
      <c r="D21" s="43">
        <v>2</v>
      </c>
      <c r="E21" s="43">
        <v>1</v>
      </c>
      <c r="F21" s="364"/>
      <c r="G21" s="44"/>
      <c r="H21" s="44"/>
      <c r="I21" s="36"/>
      <c r="J21" s="188"/>
      <c r="K21" s="39"/>
      <c r="L21" s="367"/>
    </row>
    <row r="22" spans="1:12">
      <c r="A22" s="50" t="s">
        <v>148</v>
      </c>
      <c r="B22" s="231" t="s">
        <v>144</v>
      </c>
      <c r="C22" s="200"/>
      <c r="D22" s="43">
        <v>2</v>
      </c>
      <c r="E22" s="43">
        <v>2</v>
      </c>
      <c r="F22" s="364"/>
      <c r="G22" s="44"/>
      <c r="H22" s="44"/>
      <c r="I22" s="36"/>
      <c r="J22" s="188"/>
      <c r="K22" s="39"/>
      <c r="L22" s="367"/>
    </row>
    <row r="23" spans="1:12">
      <c r="A23" s="50" t="s">
        <v>201</v>
      </c>
      <c r="B23" s="53" t="s">
        <v>194</v>
      </c>
      <c r="C23" s="200"/>
      <c r="D23" s="43" t="s">
        <v>232</v>
      </c>
      <c r="E23" s="43"/>
      <c r="F23" s="364"/>
      <c r="G23" s="44">
        <v>5</v>
      </c>
      <c r="H23" s="44">
        <v>2</v>
      </c>
      <c r="I23" s="36">
        <f>2/5</f>
        <v>0.4</v>
      </c>
      <c r="J23" s="188" t="s">
        <v>84</v>
      </c>
      <c r="K23" s="39"/>
      <c r="L23" s="367"/>
    </row>
    <row r="24" spans="1:12">
      <c r="A24" s="50" t="s">
        <v>202</v>
      </c>
      <c r="B24" s="53" t="s">
        <v>196</v>
      </c>
      <c r="C24" s="200"/>
      <c r="D24" s="43" t="s">
        <v>232</v>
      </c>
      <c r="E24" s="43"/>
      <c r="F24" s="364"/>
      <c r="G24" s="44" t="s">
        <v>84</v>
      </c>
      <c r="H24" s="44"/>
      <c r="I24" s="36"/>
      <c r="J24" s="187">
        <v>38</v>
      </c>
      <c r="K24" s="46">
        <v>34</v>
      </c>
      <c r="L24" s="367">
        <f>34/38</f>
        <v>0.89473684210526316</v>
      </c>
    </row>
    <row r="25" spans="1:12">
      <c r="A25" s="50" t="s">
        <v>203</v>
      </c>
      <c r="B25" s="41" t="s">
        <v>198</v>
      </c>
      <c r="C25" s="200"/>
      <c r="D25" s="43" t="s">
        <v>84</v>
      </c>
      <c r="E25" s="43"/>
      <c r="F25" s="364"/>
      <c r="G25" s="44">
        <v>9</v>
      </c>
      <c r="H25" s="44">
        <v>8</v>
      </c>
      <c r="I25" s="36">
        <f>8/9</f>
        <v>0.88888888888888884</v>
      </c>
      <c r="J25" s="187">
        <v>6</v>
      </c>
      <c r="K25" s="46">
        <v>4</v>
      </c>
      <c r="L25" s="367">
        <f>4/6</f>
        <v>0.66666666666666663</v>
      </c>
    </row>
    <row r="26" spans="1:12">
      <c r="A26" s="381" t="s">
        <v>150</v>
      </c>
      <c r="B26" s="41" t="s">
        <v>151</v>
      </c>
      <c r="C26" s="200"/>
      <c r="D26" s="43"/>
      <c r="E26" s="43">
        <v>1</v>
      </c>
      <c r="F26" s="364"/>
      <c r="G26" s="44">
        <v>11</v>
      </c>
      <c r="H26" s="44">
        <v>11</v>
      </c>
      <c r="I26" s="36">
        <v>1</v>
      </c>
      <c r="J26" s="187">
        <v>7</v>
      </c>
      <c r="K26" s="46">
        <v>7</v>
      </c>
      <c r="L26" s="367">
        <v>1</v>
      </c>
    </row>
    <row r="27" spans="1:12">
      <c r="A27" s="234" t="s">
        <v>152</v>
      </c>
      <c r="B27" s="235" t="s">
        <v>153</v>
      </c>
      <c r="C27" s="200"/>
      <c r="D27" s="254">
        <v>61</v>
      </c>
      <c r="E27" s="43">
        <v>51</v>
      </c>
      <c r="F27" s="364"/>
      <c r="G27" s="44"/>
      <c r="H27" s="44"/>
      <c r="I27" s="36"/>
      <c r="J27" s="187"/>
      <c r="K27" s="46"/>
      <c r="L27" s="367"/>
    </row>
    <row r="28" spans="1:12">
      <c r="A28" s="50" t="s">
        <v>204</v>
      </c>
      <c r="B28" s="41" t="s">
        <v>205</v>
      </c>
      <c r="C28" s="200"/>
      <c r="D28" s="254">
        <v>1</v>
      </c>
      <c r="E28" s="43">
        <v>1</v>
      </c>
      <c r="F28" s="364"/>
      <c r="G28" s="44" t="s">
        <v>84</v>
      </c>
      <c r="H28" s="44"/>
      <c r="I28" s="36"/>
      <c r="J28" s="187">
        <v>96</v>
      </c>
      <c r="K28" s="46">
        <v>92</v>
      </c>
      <c r="L28" s="367">
        <f>92/96</f>
        <v>0.95833333333333337</v>
      </c>
    </row>
    <row r="29" spans="1:12">
      <c r="A29" s="50" t="s">
        <v>206</v>
      </c>
      <c r="B29" s="41" t="s">
        <v>207</v>
      </c>
      <c r="C29" s="200"/>
      <c r="D29" s="43" t="s">
        <v>84</v>
      </c>
      <c r="E29" s="43"/>
      <c r="F29" s="364"/>
      <c r="G29" s="44">
        <v>32</v>
      </c>
      <c r="H29" s="44">
        <v>22</v>
      </c>
      <c r="I29" s="36">
        <f>22/32</f>
        <v>0.6875</v>
      </c>
      <c r="J29" s="187">
        <v>37</v>
      </c>
      <c r="K29" s="46">
        <v>35</v>
      </c>
      <c r="L29" s="367">
        <f>37/35</f>
        <v>1.0571428571428572</v>
      </c>
    </row>
    <row r="30" spans="1:12">
      <c r="A30" s="50" t="s">
        <v>208</v>
      </c>
      <c r="B30" s="41" t="s">
        <v>207</v>
      </c>
      <c r="C30" s="203"/>
      <c r="D30" s="43" t="s">
        <v>84</v>
      </c>
      <c r="E30" s="43"/>
      <c r="F30" s="364"/>
      <c r="G30" s="44">
        <v>1</v>
      </c>
      <c r="H30" s="44">
        <v>1</v>
      </c>
      <c r="I30" s="36">
        <v>1</v>
      </c>
      <c r="J30" s="187">
        <v>7</v>
      </c>
      <c r="K30" s="46">
        <v>4</v>
      </c>
      <c r="L30" s="367">
        <f>4/7</f>
        <v>0.5714285714285714</v>
      </c>
    </row>
    <row r="31" spans="1:12" ht="15" thickBot="1">
      <c r="A31" s="382" t="s">
        <v>154</v>
      </c>
      <c r="B31" s="215" t="s">
        <v>155</v>
      </c>
      <c r="C31" s="200"/>
      <c r="D31" s="277"/>
      <c r="E31" s="277">
        <v>3</v>
      </c>
      <c r="F31" s="365"/>
      <c r="G31" s="280">
        <v>3</v>
      </c>
      <c r="H31" s="280">
        <v>2</v>
      </c>
      <c r="I31" s="336">
        <f>2/3</f>
        <v>0.66666666666666663</v>
      </c>
      <c r="J31" s="334">
        <v>3</v>
      </c>
      <c r="K31" s="226">
        <v>3</v>
      </c>
      <c r="L31" s="368">
        <v>1</v>
      </c>
    </row>
    <row r="32" spans="1:12" ht="15" thickBot="1">
      <c r="A32" s="73"/>
      <c r="B32" s="204" t="s">
        <v>36</v>
      </c>
      <c r="C32" s="205"/>
      <c r="D32" s="295"/>
      <c r="E32" s="295">
        <f>SUM(E6:E31)</f>
        <v>551</v>
      </c>
      <c r="F32" s="366"/>
      <c r="G32" s="294">
        <v>747</v>
      </c>
      <c r="H32" s="294">
        <v>634</v>
      </c>
      <c r="I32" s="351">
        <v>0.85</v>
      </c>
      <c r="J32" s="222">
        <v>667</v>
      </c>
      <c r="K32" s="222">
        <v>575</v>
      </c>
      <c r="L32" s="223">
        <v>0.86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F15" sqref="F15"/>
    </sheetView>
  </sheetViews>
  <sheetFormatPr defaultRowHeight="14.5"/>
  <cols>
    <col min="1" max="1" width="11.1796875" customWidth="1"/>
  </cols>
  <sheetData>
    <row r="1" spans="1:12">
      <c r="A1" s="1" t="s">
        <v>137</v>
      </c>
      <c r="B1" s="1"/>
      <c r="C1" s="1"/>
      <c r="D1" s="1"/>
      <c r="E1" s="1"/>
      <c r="F1" s="1"/>
      <c r="G1" s="1"/>
      <c r="H1" s="1"/>
      <c r="I1" s="1"/>
      <c r="J1" s="1"/>
      <c r="K1" s="1"/>
      <c r="L1" s="1"/>
    </row>
    <row r="2" spans="1:12" ht="15" thickBot="1">
      <c r="A2" s="1"/>
      <c r="B2" s="1"/>
      <c r="C2" s="1"/>
      <c r="D2" s="1"/>
      <c r="E2" s="1"/>
      <c r="F2" s="1"/>
      <c r="G2" s="1"/>
      <c r="H2" s="1"/>
      <c r="I2" s="1"/>
      <c r="J2" s="1"/>
      <c r="K2" s="1"/>
      <c r="L2" s="1"/>
    </row>
    <row r="3" spans="1:12" ht="15" thickBot="1">
      <c r="A3" s="190"/>
      <c r="B3" s="190"/>
      <c r="C3" s="192"/>
      <c r="D3" s="207"/>
      <c r="E3" s="79" t="s">
        <v>57</v>
      </c>
      <c r="F3" s="194"/>
      <c r="G3" s="129"/>
      <c r="H3" s="129" t="s">
        <v>58</v>
      </c>
      <c r="I3" s="129"/>
      <c r="J3" s="85"/>
      <c r="K3" s="85" t="s">
        <v>59</v>
      </c>
      <c r="L3" s="352"/>
    </row>
    <row r="4" spans="1:12" ht="15" thickBot="1">
      <c r="A4" s="104" t="s">
        <v>156</v>
      </c>
      <c r="B4" s="208"/>
      <c r="C4" s="209"/>
      <c r="D4" s="5" t="s">
        <v>4</v>
      </c>
      <c r="E4" s="18" t="s">
        <v>5</v>
      </c>
      <c r="F4" s="19" t="s">
        <v>6</v>
      </c>
      <c r="G4" s="143" t="s">
        <v>4</v>
      </c>
      <c r="H4" s="198" t="s">
        <v>5</v>
      </c>
      <c r="I4" s="199" t="s">
        <v>6</v>
      </c>
      <c r="J4" s="13" t="s">
        <v>4</v>
      </c>
      <c r="K4" s="25" t="s">
        <v>5</v>
      </c>
      <c r="L4" s="145" t="s">
        <v>6</v>
      </c>
    </row>
    <row r="5" spans="1:12">
      <c r="A5" s="50" t="s">
        <v>174</v>
      </c>
      <c r="B5" s="41" t="s">
        <v>175</v>
      </c>
      <c r="C5" s="200"/>
      <c r="D5" s="254">
        <v>42</v>
      </c>
      <c r="E5" s="254">
        <v>32</v>
      </c>
      <c r="F5" s="369">
        <v>0.76</v>
      </c>
      <c r="G5" s="155">
        <v>41</v>
      </c>
      <c r="H5" s="155">
        <v>34</v>
      </c>
      <c r="I5" s="156">
        <f>34/41</f>
        <v>0.82926829268292679</v>
      </c>
      <c r="J5" s="46">
        <v>30</v>
      </c>
      <c r="K5" s="46">
        <v>23</v>
      </c>
      <c r="L5" s="72">
        <f>23/30</f>
        <v>0.76666666666666672</v>
      </c>
    </row>
    <row r="6" spans="1:12">
      <c r="A6" s="50" t="s">
        <v>176</v>
      </c>
      <c r="B6" s="41" t="s">
        <v>177</v>
      </c>
      <c r="C6" s="200"/>
      <c r="D6" s="254">
        <v>34</v>
      </c>
      <c r="E6" s="254">
        <v>30</v>
      </c>
      <c r="F6" s="369">
        <v>0.88</v>
      </c>
      <c r="G6" s="155">
        <v>40</v>
      </c>
      <c r="H6" s="155">
        <v>29</v>
      </c>
      <c r="I6" s="156">
        <f>29/40</f>
        <v>0.72499999999999998</v>
      </c>
      <c r="J6" s="46">
        <v>30</v>
      </c>
      <c r="K6" s="46">
        <v>20</v>
      </c>
      <c r="L6" s="72">
        <f>20/30</f>
        <v>0.66666666666666663</v>
      </c>
    </row>
    <row r="7" spans="1:12">
      <c r="A7" s="50" t="s">
        <v>178</v>
      </c>
      <c r="B7" s="41" t="s">
        <v>179</v>
      </c>
      <c r="C7" s="200"/>
      <c r="D7" s="254">
        <v>33</v>
      </c>
      <c r="E7" s="254">
        <v>26</v>
      </c>
      <c r="F7" s="369">
        <v>0.79</v>
      </c>
      <c r="G7" s="155" t="s">
        <v>185</v>
      </c>
      <c r="H7" s="155"/>
      <c r="I7" s="156"/>
      <c r="J7" s="46">
        <v>31</v>
      </c>
      <c r="K7" s="46">
        <v>26</v>
      </c>
      <c r="L7" s="72">
        <f>26/31</f>
        <v>0.83870967741935487</v>
      </c>
    </row>
    <row r="8" spans="1:12">
      <c r="A8" s="50" t="s">
        <v>180</v>
      </c>
      <c r="B8" s="41" t="s">
        <v>181</v>
      </c>
      <c r="C8" s="200"/>
      <c r="D8" s="254">
        <v>36</v>
      </c>
      <c r="E8" s="254">
        <v>29</v>
      </c>
      <c r="F8" s="369">
        <v>0.8</v>
      </c>
      <c r="G8" s="155">
        <v>50</v>
      </c>
      <c r="H8" s="155">
        <v>44</v>
      </c>
      <c r="I8" s="156">
        <f>44/50</f>
        <v>0.88</v>
      </c>
      <c r="J8" s="46">
        <v>35</v>
      </c>
      <c r="K8" s="46">
        <v>27</v>
      </c>
      <c r="L8" s="72">
        <f>27/35</f>
        <v>0.77142857142857146</v>
      </c>
    </row>
    <row r="9" spans="1:12">
      <c r="A9" s="50" t="s">
        <v>157</v>
      </c>
      <c r="B9" s="53" t="s">
        <v>182</v>
      </c>
      <c r="C9" s="200"/>
      <c r="D9" s="254">
        <v>25</v>
      </c>
      <c r="E9" s="254">
        <v>25</v>
      </c>
      <c r="F9" s="369">
        <v>1</v>
      </c>
      <c r="G9" s="155">
        <v>19</v>
      </c>
      <c r="H9" s="155">
        <v>19</v>
      </c>
      <c r="I9" s="156">
        <v>1</v>
      </c>
      <c r="J9" s="39" t="s">
        <v>84</v>
      </c>
      <c r="K9" s="39"/>
      <c r="L9" s="72"/>
    </row>
    <row r="10" spans="1:12">
      <c r="A10" s="50" t="s">
        <v>158</v>
      </c>
      <c r="B10" s="41" t="s">
        <v>159</v>
      </c>
      <c r="C10" s="200"/>
      <c r="D10" s="201" t="s">
        <v>84</v>
      </c>
      <c r="E10" s="43"/>
      <c r="F10" s="210"/>
      <c r="G10" s="155">
        <v>1</v>
      </c>
      <c r="H10" s="155">
        <v>0</v>
      </c>
      <c r="I10" s="156">
        <v>0</v>
      </c>
      <c r="J10" s="46">
        <v>16</v>
      </c>
      <c r="K10" s="46">
        <v>8</v>
      </c>
      <c r="L10" s="72">
        <f>8/16</f>
        <v>0.5</v>
      </c>
    </row>
    <row r="11" spans="1:12" ht="15" thickBot="1">
      <c r="A11" s="211" t="s">
        <v>183</v>
      </c>
      <c r="B11" s="215" t="s">
        <v>184</v>
      </c>
      <c r="C11" s="212"/>
      <c r="D11" s="254">
        <v>22</v>
      </c>
      <c r="E11" s="254">
        <v>14</v>
      </c>
      <c r="F11" s="370">
        <v>0.64</v>
      </c>
      <c r="G11" s="213">
        <v>19</v>
      </c>
      <c r="H11" s="213">
        <v>15</v>
      </c>
      <c r="I11" s="175">
        <f>15/19</f>
        <v>0.78947368421052633</v>
      </c>
      <c r="J11" s="220">
        <v>22</v>
      </c>
      <c r="K11" s="220">
        <v>19</v>
      </c>
      <c r="L11" s="221">
        <f>19/22</f>
        <v>0.86363636363636365</v>
      </c>
    </row>
    <row r="12" spans="1:12" ht="15" thickBot="1">
      <c r="A12" s="73"/>
      <c r="B12" s="118" t="s">
        <v>36</v>
      </c>
      <c r="C12" s="205"/>
      <c r="D12" s="206">
        <f>SUM(D5:D11)</f>
        <v>192</v>
      </c>
      <c r="E12" s="119">
        <f>SUM(E5:E11)</f>
        <v>156</v>
      </c>
      <c r="F12" s="371">
        <v>0.81</v>
      </c>
      <c r="G12" s="142">
        <v>170</v>
      </c>
      <c r="H12" s="142">
        <v>141</v>
      </c>
      <c r="I12" s="219">
        <f>141/170</f>
        <v>0.8294117647058824</v>
      </c>
      <c r="J12" s="224">
        <v>164</v>
      </c>
      <c r="K12" s="224">
        <v>123</v>
      </c>
      <c r="L12" s="14">
        <f>123/164</f>
        <v>0.75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F8" sqref="F8"/>
    </sheetView>
  </sheetViews>
  <sheetFormatPr defaultRowHeight="14.5"/>
  <sheetData>
    <row r="1" spans="1:12">
      <c r="A1" s="1" t="s">
        <v>137</v>
      </c>
    </row>
    <row r="2" spans="1:12" ht="15" thickBot="1"/>
    <row r="3" spans="1:12" ht="15" thickBot="1">
      <c r="D3" s="193"/>
      <c r="E3" s="79" t="s">
        <v>161</v>
      </c>
      <c r="F3" s="357"/>
      <c r="G3" s="195"/>
      <c r="H3" s="129" t="s">
        <v>162</v>
      </c>
      <c r="I3" s="342"/>
      <c r="J3" s="350"/>
      <c r="K3" s="85" t="s">
        <v>163</v>
      </c>
      <c r="L3" s="353"/>
    </row>
    <row r="4" spans="1:12" ht="15" thickBot="1">
      <c r="A4" s="104" t="s">
        <v>160</v>
      </c>
      <c r="B4" s="356"/>
      <c r="C4" s="356"/>
      <c r="D4" s="17" t="s">
        <v>4</v>
      </c>
      <c r="E4" s="18" t="s">
        <v>5</v>
      </c>
      <c r="F4" s="64" t="s">
        <v>6</v>
      </c>
      <c r="G4" s="177" t="s">
        <v>4</v>
      </c>
      <c r="H4" s="198" t="s">
        <v>5</v>
      </c>
      <c r="I4" s="214" t="s">
        <v>6</v>
      </c>
      <c r="J4" s="24" t="s">
        <v>4</v>
      </c>
      <c r="K4" s="25" t="s">
        <v>5</v>
      </c>
      <c r="L4" s="145" t="s">
        <v>6</v>
      </c>
    </row>
    <row r="5" spans="1:12">
      <c r="A5" s="50" t="s">
        <v>164</v>
      </c>
      <c r="B5" s="41" t="s">
        <v>165</v>
      </c>
      <c r="C5" s="157"/>
      <c r="D5" s="354">
        <v>21</v>
      </c>
      <c r="E5" s="268">
        <v>19</v>
      </c>
      <c r="F5" s="373">
        <v>0.9</v>
      </c>
      <c r="G5" s="155">
        <v>23</v>
      </c>
      <c r="H5" s="155">
        <v>21</v>
      </c>
      <c r="I5" s="156">
        <f>21/23</f>
        <v>0.91304347826086951</v>
      </c>
      <c r="J5" s="46">
        <v>16</v>
      </c>
      <c r="K5" s="46">
        <v>12</v>
      </c>
      <c r="L5" s="72">
        <f>12/16</f>
        <v>0.75</v>
      </c>
    </row>
    <row r="6" spans="1:12">
      <c r="A6" s="50" t="s">
        <v>166</v>
      </c>
      <c r="B6" s="41" t="s">
        <v>167</v>
      </c>
      <c r="C6" s="41"/>
      <c r="D6" s="201">
        <v>8</v>
      </c>
      <c r="E6" s="43">
        <v>8</v>
      </c>
      <c r="F6" s="369">
        <v>1</v>
      </c>
      <c r="G6" s="155">
        <v>4</v>
      </c>
      <c r="H6" s="155">
        <v>4</v>
      </c>
      <c r="I6" s="156">
        <v>1</v>
      </c>
      <c r="J6" s="46">
        <v>15</v>
      </c>
      <c r="K6" s="46">
        <v>15</v>
      </c>
      <c r="L6" s="72">
        <v>1</v>
      </c>
    </row>
    <row r="7" spans="1:12">
      <c r="A7" s="50" t="s">
        <v>168</v>
      </c>
      <c r="B7" s="41" t="s">
        <v>169</v>
      </c>
      <c r="C7" s="41"/>
      <c r="D7" s="201">
        <v>24</v>
      </c>
      <c r="E7" s="43">
        <v>19</v>
      </c>
      <c r="F7" s="369">
        <v>0.79</v>
      </c>
      <c r="G7" s="155">
        <v>17</v>
      </c>
      <c r="H7" s="155">
        <v>15</v>
      </c>
      <c r="I7" s="156">
        <f>15/17</f>
        <v>0.88235294117647056</v>
      </c>
      <c r="J7" s="46">
        <v>24</v>
      </c>
      <c r="K7" s="46">
        <v>22</v>
      </c>
      <c r="L7" s="72">
        <f>22/24</f>
        <v>0.91666666666666663</v>
      </c>
    </row>
    <row r="8" spans="1:12">
      <c r="A8" s="41" t="s">
        <v>170</v>
      </c>
      <c r="B8" s="41" t="s">
        <v>171</v>
      </c>
      <c r="C8" s="41"/>
      <c r="D8" s="201">
        <v>2</v>
      </c>
      <c r="E8" s="43">
        <v>2</v>
      </c>
      <c r="F8" s="369">
        <v>1</v>
      </c>
      <c r="G8" s="155">
        <v>18</v>
      </c>
      <c r="H8" s="155">
        <v>18</v>
      </c>
      <c r="I8" s="156">
        <v>1</v>
      </c>
      <c r="J8" s="46">
        <v>15</v>
      </c>
      <c r="K8" s="46">
        <v>15</v>
      </c>
      <c r="L8" s="72">
        <v>1</v>
      </c>
    </row>
    <row r="9" spans="1:12" ht="15" thickBot="1">
      <c r="A9" s="211" t="s">
        <v>172</v>
      </c>
      <c r="B9" s="215" t="s">
        <v>173</v>
      </c>
      <c r="C9" s="215"/>
      <c r="D9" s="355">
        <v>41</v>
      </c>
      <c r="E9" s="277">
        <v>21</v>
      </c>
      <c r="F9" s="370">
        <v>0.51</v>
      </c>
      <c r="G9" s="213">
        <v>48</v>
      </c>
      <c r="H9" s="213">
        <v>22</v>
      </c>
      <c r="I9" s="175">
        <f>22/48</f>
        <v>0.45833333333333331</v>
      </c>
      <c r="J9" s="220">
        <v>51</v>
      </c>
      <c r="K9" s="220">
        <v>16</v>
      </c>
      <c r="L9" s="221">
        <f>16/51</f>
        <v>0.31372549019607843</v>
      </c>
    </row>
    <row r="10" spans="1:12" ht="15" thickBot="1">
      <c r="A10" s="216"/>
      <c r="B10" s="217" t="s">
        <v>36</v>
      </c>
      <c r="C10" s="217"/>
      <c r="D10" s="218">
        <f>SUM(D5:D9)</f>
        <v>96</v>
      </c>
      <c r="E10" s="89">
        <f>SUM(E5:E9)</f>
        <v>69</v>
      </c>
      <c r="F10" s="372">
        <v>0.72</v>
      </c>
      <c r="G10" s="142">
        <v>110</v>
      </c>
      <c r="H10" s="142">
        <v>80</v>
      </c>
      <c r="I10" s="219">
        <f>80/110</f>
        <v>0.72727272727272729</v>
      </c>
      <c r="J10" s="222">
        <v>121</v>
      </c>
      <c r="K10" s="222">
        <v>80</v>
      </c>
      <c r="L10" s="223">
        <f>80/121</f>
        <v>0.66115702479338845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MiR</vt:lpstr>
      <vt:lpstr>IKRS</vt:lpstr>
      <vt:lpstr>HUMR</vt:lpstr>
      <vt:lpstr>SERI</vt:lpstr>
    </vt:vector>
  </TitlesOfParts>
  <Company>Universitetet i Oslo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Margit Tvenge</dc:creator>
  <cp:lastModifiedBy>Anne Margit Tvenge</cp:lastModifiedBy>
  <dcterms:created xsi:type="dcterms:W3CDTF">2022-01-20T08:49:17Z</dcterms:created>
  <dcterms:modified xsi:type="dcterms:W3CDTF">2022-02-01T20:10:11Z</dcterms:modified>
</cp:coreProperties>
</file>