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jus-jussekr-u1\tronsk\JUS\Studier\Simuleringsverktøy\"/>
    </mc:Choice>
  </mc:AlternateContent>
  <bookViews>
    <workbookView xWindow="0" yWindow="0" windowWidth="28800" windowHeight="10140" activeTab="1"/>
  </bookViews>
  <sheets>
    <sheet name="Input" sheetId="1" r:id="rId1"/>
    <sheet name="Forelesning" sheetId="2" r:id="rId2"/>
    <sheet name="Kurs" sheetId="3" r:id="rId3"/>
    <sheet name="Smågrupper" sheetId="4" r:id="rId4"/>
    <sheet name="Eksamen" sheetId="5" r:id="rId5"/>
    <sheet name="Oppgaver" sheetId="6" r:id="rId6"/>
    <sheet name="Oversikt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7" l="1"/>
  <c r="M18" i="7"/>
  <c r="M17" i="7"/>
  <c r="M16" i="7"/>
  <c r="D13" i="7" l="1"/>
  <c r="D12" i="7"/>
  <c r="E13" i="7" l="1"/>
  <c r="E12" i="7"/>
  <c r="F13" i="7" l="1"/>
  <c r="F12" i="7"/>
  <c r="B13" i="7"/>
  <c r="I6" i="5"/>
  <c r="I5" i="5"/>
  <c r="I4" i="5"/>
  <c r="I3" i="5"/>
  <c r="D4" i="5"/>
  <c r="C4" i="5" s="1"/>
  <c r="D3" i="5"/>
  <c r="C3" i="5" s="1"/>
  <c r="C5" i="5"/>
  <c r="I19" i="7" l="1"/>
  <c r="C23" i="6" l="1"/>
  <c r="E23" i="6"/>
  <c r="G23" i="6"/>
  <c r="I23" i="6"/>
  <c r="J23" i="6"/>
  <c r="C24" i="6"/>
  <c r="E24" i="6" s="1"/>
  <c r="G24" i="6"/>
  <c r="I24" i="6"/>
  <c r="J24" i="6"/>
  <c r="C12" i="6"/>
  <c r="E12" i="6"/>
  <c r="G12" i="6"/>
  <c r="I12" i="6" s="1"/>
  <c r="C13" i="6"/>
  <c r="E13" i="6"/>
  <c r="G13" i="6"/>
  <c r="I13" i="6"/>
  <c r="J13" i="6"/>
  <c r="I22" i="6"/>
  <c r="G22" i="6"/>
  <c r="E22" i="6"/>
  <c r="C22" i="6"/>
  <c r="J22" i="6" s="1"/>
  <c r="G21" i="6"/>
  <c r="I21" i="6" s="1"/>
  <c r="E21" i="6"/>
  <c r="C21" i="6"/>
  <c r="J21" i="6" s="1"/>
  <c r="C19" i="6"/>
  <c r="E19" i="6"/>
  <c r="G19" i="6"/>
  <c r="I19" i="6"/>
  <c r="J19" i="6"/>
  <c r="D22" i="4"/>
  <c r="E22" i="4"/>
  <c r="D23" i="4"/>
  <c r="E23" i="4"/>
  <c r="D24" i="4"/>
  <c r="E24" i="4"/>
  <c r="D25" i="4"/>
  <c r="E25" i="4"/>
  <c r="D26" i="4"/>
  <c r="E26" i="4" s="1"/>
  <c r="D12" i="4"/>
  <c r="E12" i="4"/>
  <c r="D13" i="4"/>
  <c r="E13" i="4" s="1"/>
  <c r="D23" i="3"/>
  <c r="D24" i="3"/>
  <c r="D25" i="3"/>
  <c r="E25" i="3" s="1"/>
  <c r="D26" i="3"/>
  <c r="E26" i="3" s="1"/>
  <c r="E23" i="3"/>
  <c r="E24" i="3"/>
  <c r="D22" i="3"/>
  <c r="E22" i="3" s="1"/>
  <c r="D21" i="3"/>
  <c r="E21" i="3" s="1"/>
  <c r="D19" i="3"/>
  <c r="E19" i="3" s="1"/>
  <c r="E13" i="3"/>
  <c r="D12" i="3"/>
  <c r="E12" i="3" s="1"/>
  <c r="D13" i="3"/>
  <c r="C5" i="2"/>
  <c r="C23" i="2"/>
  <c r="C24" i="2"/>
  <c r="C25" i="2"/>
  <c r="C26" i="2"/>
  <c r="C27" i="2"/>
  <c r="C19" i="2"/>
  <c r="C10" i="2"/>
  <c r="C11" i="2"/>
  <c r="C12" i="2"/>
  <c r="C13" i="2"/>
  <c r="B5" i="1"/>
  <c r="J12" i="6" l="1"/>
  <c r="N19" i="7" l="1"/>
  <c r="N18" i="7"/>
  <c r="I18" i="7"/>
  <c r="N17" i="7"/>
  <c r="I17" i="7"/>
  <c r="N16" i="7"/>
  <c r="O16" i="7" s="1"/>
  <c r="I16" i="7"/>
  <c r="F8" i="7"/>
  <c r="E8" i="7"/>
  <c r="D8" i="7"/>
  <c r="F10" i="7" l="1"/>
  <c r="F11" i="7"/>
  <c r="D10" i="7"/>
  <c r="D11" i="7"/>
  <c r="E10" i="7"/>
  <c r="E11" i="7"/>
  <c r="L19" i="7"/>
  <c r="K19" i="7"/>
  <c r="L16" i="7"/>
  <c r="K16" i="7"/>
  <c r="L18" i="7"/>
  <c r="K18" i="7"/>
  <c r="O18" i="7"/>
  <c r="L17" i="7"/>
  <c r="K17" i="7"/>
  <c r="O17" i="7"/>
  <c r="O19" i="7"/>
  <c r="G11" i="6"/>
  <c r="I11" i="6" s="1"/>
  <c r="C11" i="6"/>
  <c r="E11" i="6" s="1"/>
  <c r="D10" i="4"/>
  <c r="E10" i="4" s="1"/>
  <c r="B27" i="3"/>
  <c r="D11" i="3"/>
  <c r="E11" i="3" s="1"/>
  <c r="B28" i="2"/>
  <c r="J11" i="6" l="1"/>
  <c r="B27" i="4" l="1"/>
  <c r="G25" i="6"/>
  <c r="I25" i="6" s="1"/>
  <c r="G26" i="6"/>
  <c r="I26" i="6" s="1"/>
  <c r="C25" i="6"/>
  <c r="C26" i="6"/>
  <c r="G8" i="6"/>
  <c r="I8" i="6" s="1"/>
  <c r="G9" i="6"/>
  <c r="I9" i="6" s="1"/>
  <c r="G10" i="6"/>
  <c r="I10" i="6" s="1"/>
  <c r="C8" i="6"/>
  <c r="E8" i="6" s="1"/>
  <c r="C9" i="6"/>
  <c r="E9" i="6" s="1"/>
  <c r="C10" i="6"/>
  <c r="E10" i="6" s="1"/>
  <c r="F4" i="5"/>
  <c r="F5" i="5"/>
  <c r="F3" i="5"/>
  <c r="B4" i="5"/>
  <c r="B5" i="5"/>
  <c r="B3" i="5"/>
  <c r="D9" i="4"/>
  <c r="E9" i="4" s="1"/>
  <c r="D11" i="4"/>
  <c r="E11" i="4" s="1"/>
  <c r="J26" i="6" l="1"/>
  <c r="E26" i="6"/>
  <c r="J25" i="6"/>
  <c r="E25" i="6"/>
  <c r="J10" i="6"/>
  <c r="J8" i="6"/>
  <c r="H4" i="5"/>
  <c r="H5" i="5"/>
  <c r="J9" i="6"/>
  <c r="D9" i="3"/>
  <c r="E9" i="3" s="1"/>
  <c r="D10" i="3"/>
  <c r="E10" i="3" s="1"/>
  <c r="B27" i="6" l="1"/>
  <c r="G18" i="6" l="1"/>
  <c r="I18" i="6" s="1"/>
  <c r="G17" i="6"/>
  <c r="I17" i="6" s="1"/>
  <c r="G6" i="6"/>
  <c r="I6" i="6" s="1"/>
  <c r="G7" i="6"/>
  <c r="I7" i="6" s="1"/>
  <c r="G5" i="6"/>
  <c r="I5" i="6" s="1"/>
  <c r="C18" i="6"/>
  <c r="E18" i="6" s="1"/>
  <c r="C17" i="6"/>
  <c r="E17" i="6" s="1"/>
  <c r="C6" i="6"/>
  <c r="E6" i="6" s="1"/>
  <c r="C7" i="6"/>
  <c r="E7" i="6" s="1"/>
  <c r="C5" i="6"/>
  <c r="E5" i="6" s="1"/>
  <c r="F27" i="6"/>
  <c r="J5" i="6" l="1"/>
  <c r="J17" i="6"/>
  <c r="I27" i="6"/>
  <c r="J7" i="6"/>
  <c r="J6" i="6"/>
  <c r="J18" i="6"/>
  <c r="H3" i="5"/>
  <c r="D6" i="4"/>
  <c r="E6" i="4" s="1"/>
  <c r="D7" i="4"/>
  <c r="E7" i="4" s="1"/>
  <c r="D8" i="4"/>
  <c r="E8" i="4" s="1"/>
  <c r="D17" i="4"/>
  <c r="E17" i="4" s="1"/>
  <c r="D18" i="4"/>
  <c r="E18" i="4" s="1"/>
  <c r="D19" i="4"/>
  <c r="E19" i="4" s="1"/>
  <c r="D20" i="4"/>
  <c r="E20" i="4" s="1"/>
  <c r="D21" i="4"/>
  <c r="E21" i="4" s="1"/>
  <c r="D5" i="4"/>
  <c r="E5" i="4" s="1"/>
  <c r="D5" i="3"/>
  <c r="E27" i="4" l="1"/>
  <c r="B5" i="7" s="1"/>
  <c r="E27" i="6"/>
  <c r="J27" i="6"/>
  <c r="B7" i="7" s="1"/>
  <c r="H6" i="5"/>
  <c r="B6" i="7" s="1"/>
  <c r="B12" i="7" s="1"/>
  <c r="B6" i="1"/>
  <c r="D18" i="3"/>
  <c r="E18" i="3" s="1"/>
  <c r="D17" i="3"/>
  <c r="E17" i="3" s="1"/>
  <c r="D8" i="3"/>
  <c r="E8" i="3" s="1"/>
  <c r="D7" i="3"/>
  <c r="E7" i="3" s="1"/>
  <c r="D6" i="3"/>
  <c r="E6" i="3" s="1"/>
  <c r="E5" i="3"/>
  <c r="E27" i="3" l="1"/>
  <c r="B4" i="7" s="1"/>
  <c r="C7" i="2"/>
  <c r="C8" i="2"/>
  <c r="C9" i="2"/>
  <c r="C17" i="2"/>
  <c r="C18" i="2"/>
  <c r="C22" i="2"/>
  <c r="C6" i="2"/>
  <c r="B11" i="1"/>
  <c r="C28" i="2" l="1"/>
  <c r="B3" i="7" s="1"/>
  <c r="B8" i="7" s="1"/>
  <c r="B10" i="7" l="1"/>
  <c r="B11" i="7"/>
</calcChain>
</file>

<file path=xl/comments1.xml><?xml version="1.0" encoding="utf-8"?>
<comments xmlns="http://schemas.openxmlformats.org/spreadsheetml/2006/main">
  <authors>
    <author>Lillian M. Stang Almaas</author>
  </authors>
  <commentList>
    <comment ref="B5" authorId="0" shapeId="0">
      <text>
        <r>
          <rPr>
            <i/>
            <sz val="9"/>
            <color indexed="81"/>
            <rFont val="Tahoma"/>
            <family val="2"/>
          </rPr>
          <t>Lillian M. Stang Almaas:</t>
        </r>
        <r>
          <rPr>
            <b/>
            <sz val="9"/>
            <color indexed="81"/>
            <rFont val="Tahoma"/>
            <family val="2"/>
          </rPr>
          <t xml:space="preserve">
tre fag behov for 3 timer
</t>
        </r>
      </text>
    </comment>
  </commentList>
</comments>
</file>

<file path=xl/comments2.xml><?xml version="1.0" encoding="utf-8"?>
<comments xmlns="http://schemas.openxmlformats.org/spreadsheetml/2006/main">
  <authors>
    <author>Karoline Stensvik</author>
  </authors>
  <commentList>
    <comment ref="B10" authorId="0" shapeId="0">
      <text>
        <r>
          <rPr>
            <i/>
            <sz val="9"/>
            <color indexed="81"/>
            <rFont val="Tahoma"/>
            <family val="2"/>
          </rPr>
          <t>Karoline Stensvik:</t>
        </r>
        <r>
          <rPr>
            <b/>
            <sz val="9"/>
            <color indexed="81"/>
            <rFont val="Tahoma"/>
            <family val="2"/>
          </rPr>
          <t xml:space="preserve">
Timeberegning pr kurs = 9 timer pga kurslærer slår sammen to kurs når de er i rettssal
</t>
        </r>
      </text>
    </comment>
  </commentList>
</comments>
</file>

<file path=xl/sharedStrings.xml><?xml version="1.0" encoding="utf-8"?>
<sst xmlns="http://schemas.openxmlformats.org/spreadsheetml/2006/main" count="211" uniqueCount="92">
  <si>
    <t>Timesats undervisning</t>
  </si>
  <si>
    <t>Timer pr studiepoeng</t>
  </si>
  <si>
    <t>Fag</t>
  </si>
  <si>
    <t>Antall kurs-timer</t>
  </si>
  <si>
    <t>Antall deltakere per  kurs</t>
  </si>
  <si>
    <t xml:space="preserve">Totalt </t>
  </si>
  <si>
    <t>Antall timer</t>
  </si>
  <si>
    <t>Kostnad</t>
  </si>
  <si>
    <t>Antall kursgrupper</t>
  </si>
  <si>
    <t>Timer disponibelt totalt pr semester</t>
  </si>
  <si>
    <t>Antall deltakere pr gruppe</t>
  </si>
  <si>
    <t>Antall grupper</t>
  </si>
  <si>
    <t>Emne</t>
  </si>
  <si>
    <t>Antall kandidater</t>
  </si>
  <si>
    <t>Sats (kroner pr sensurering)</t>
  </si>
  <si>
    <t>Ant sensorer</t>
  </si>
  <si>
    <t>Sats for arbeidsgiveravgift sensur</t>
  </si>
  <si>
    <t>Totalt</t>
  </si>
  <si>
    <t xml:space="preserve">Fakultets-oppgaver </t>
  </si>
  <si>
    <t xml:space="preserve">Kurs-oppgaver </t>
  </si>
  <si>
    <t>Antall studenter</t>
  </si>
  <si>
    <t>Aktivitet</t>
  </si>
  <si>
    <t>Forelesning</t>
  </si>
  <si>
    <t>Kurs</t>
  </si>
  <si>
    <t>Smågrupper</t>
  </si>
  <si>
    <t>Eksamen</t>
  </si>
  <si>
    <t>Oppgaver</t>
  </si>
  <si>
    <t>Sats for eksamen 6-timer</t>
  </si>
  <si>
    <t>Sats for eksamen 4-timer</t>
  </si>
  <si>
    <t>Kostnad kurs-oppgaver</t>
  </si>
  <si>
    <t>Kostnad kr</t>
  </si>
  <si>
    <t>Forventet antall studenter pr semester i undervisning</t>
  </si>
  <si>
    <t>Forventet antall studenter pr semester som tar eksamen</t>
  </si>
  <si>
    <t>Timesats kollokvie</t>
  </si>
  <si>
    <t>Kostnad fak. oppgaver</t>
  </si>
  <si>
    <t>Rettshistorie</t>
  </si>
  <si>
    <t>Sammenligningspunkter</t>
  </si>
  <si>
    <t>Budsjett 2018</t>
  </si>
  <si>
    <t>Budsjett 2017</t>
  </si>
  <si>
    <t>Budsjett 2016</t>
  </si>
  <si>
    <t>Kostnad pr student</t>
  </si>
  <si>
    <t>Måltall totalkostnad</t>
  </si>
  <si>
    <t>Undervisningsaktiviteter til hver student pr studieår 2019</t>
  </si>
  <si>
    <t>Timer undervisning</t>
  </si>
  <si>
    <t>Prosent av høyeste antall</t>
  </si>
  <si>
    <t>Antall oppgaver</t>
  </si>
  <si>
    <t>År 1</t>
  </si>
  <si>
    <t>År 2</t>
  </si>
  <si>
    <t>År 3</t>
  </si>
  <si>
    <t>År 4</t>
  </si>
  <si>
    <t>Timesats oppgaver jurist</t>
  </si>
  <si>
    <t>Timesats oppgaver student</t>
  </si>
  <si>
    <t>Jurist</t>
  </si>
  <si>
    <t>Student</t>
  </si>
  <si>
    <t>Oppgaveretter</t>
  </si>
  <si>
    <t>Timer pr SP</t>
  </si>
  <si>
    <t>JUS4211</t>
  </si>
  <si>
    <t>Prosess og strafferett</t>
  </si>
  <si>
    <t xml:space="preserve">Sivilprosess </t>
  </si>
  <si>
    <t xml:space="preserve">Strafferett </t>
  </si>
  <si>
    <t xml:space="preserve">Straffeprosess </t>
  </si>
  <si>
    <t>Yrkesteknikk</t>
  </si>
  <si>
    <t>Rettssakskurs</t>
  </si>
  <si>
    <t>Prosjektkurs (tidl klinisk)*</t>
  </si>
  <si>
    <t>Manuduksjoner</t>
  </si>
  <si>
    <t>Oppgaveløsningsseminar fak.oppg</t>
  </si>
  <si>
    <t>JUS4111</t>
  </si>
  <si>
    <t>Metode og etikk</t>
  </si>
  <si>
    <t>Introduksjon (4111)</t>
  </si>
  <si>
    <t>Metode</t>
  </si>
  <si>
    <t>Etikk</t>
  </si>
  <si>
    <t>Perspektivfag</t>
  </si>
  <si>
    <t>intro i rettsøkonomi/rettssosiologi</t>
  </si>
  <si>
    <t>Rettsøkonomi</t>
  </si>
  <si>
    <t>Rettsfilosofi</t>
  </si>
  <si>
    <t>Manuduksjoner (spørretime) Metode</t>
  </si>
  <si>
    <t>Oppgaveløsningsseminar fak.oppg**</t>
  </si>
  <si>
    <t>Introduksjon (4211)</t>
  </si>
  <si>
    <t>Skoleeksamen 4. studieår, 1. semester</t>
  </si>
  <si>
    <t>Skoleeksamen 4. studieår, 2. semester</t>
  </si>
  <si>
    <t>Skoleeksamen 4. studieår, JUS4121 og JUS422</t>
  </si>
  <si>
    <t>Prosjektkurs (tidl klinisk)</t>
  </si>
  <si>
    <t xml:space="preserve">Rettssosiologi </t>
  </si>
  <si>
    <t>Undervisnings-kostnad pr student</t>
  </si>
  <si>
    <t>Eksamens-kostnad pr student</t>
  </si>
  <si>
    <t>Herav gjentaks-kostnad</t>
  </si>
  <si>
    <t>SP</t>
  </si>
  <si>
    <t>Estimat ordinære</t>
  </si>
  <si>
    <t>Estimat gjentak</t>
  </si>
  <si>
    <t>4. studieår</t>
  </si>
  <si>
    <t>Prosent av høyeste antall timer</t>
  </si>
  <si>
    <t>Prosent av høyeste antall timer pr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</si>
</sst>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 * #,##0_ ;_ * \-#,##0_ ;_ * &quot;-&quot;??_ ;_ @_ 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Times New Roman"/>
      <family val="1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3" fontId="0" fillId="3" borderId="1" xfId="0" applyNumberFormat="1" applyFill="1" applyBorder="1" applyProtection="1">
      <protection locked="0"/>
    </xf>
    <xf numFmtId="3" fontId="4" fillId="3" borderId="1" xfId="0" applyNumberFormat="1" applyFont="1" applyFill="1" applyBorder="1" applyProtection="1">
      <protection locked="0"/>
    </xf>
    <xf numFmtId="3" fontId="2" fillId="0" borderId="1" xfId="0" applyNumberFormat="1" applyFont="1" applyFill="1" applyBorder="1" applyProtection="1">
      <protection locked="0"/>
    </xf>
    <xf numFmtId="3" fontId="4" fillId="0" borderId="1" xfId="0" applyNumberFormat="1" applyFont="1" applyFill="1" applyBorder="1" applyProtection="1">
      <protection locked="0"/>
    </xf>
    <xf numFmtId="3" fontId="0" fillId="0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0" fillId="0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6" fillId="0" borderId="1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9" fillId="0" borderId="1" xfId="0" applyFont="1" applyBorder="1" applyProtection="1"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Alignment="1" applyProtection="1">
      <alignment horizontal="left" vertical="top" wrapText="1"/>
      <protection locked="0"/>
    </xf>
    <xf numFmtId="0" fontId="9" fillId="0" borderId="0" xfId="0" applyFont="1" applyProtection="1">
      <protection locked="0"/>
    </xf>
    <xf numFmtId="165" fontId="9" fillId="0" borderId="0" xfId="1" applyNumberFormat="1" applyFont="1" applyProtection="1">
      <protection locked="0"/>
    </xf>
    <xf numFmtId="0" fontId="7" fillId="0" borderId="1" xfId="0" applyFont="1" applyBorder="1" applyAlignment="1" applyProtection="1">
      <alignment wrapText="1"/>
      <protection locked="0"/>
    </xf>
    <xf numFmtId="3" fontId="7" fillId="0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1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Border="1" applyProtection="1">
      <protection locked="0"/>
    </xf>
    <xf numFmtId="3" fontId="2" fillId="3" borderId="1" xfId="0" applyNumberFormat="1" applyFont="1" applyFill="1" applyBorder="1" applyProtection="1">
      <protection locked="0"/>
    </xf>
    <xf numFmtId="165" fontId="2" fillId="0" borderId="0" xfId="1" applyNumberFormat="1" applyFont="1" applyProtection="1">
      <protection locked="0"/>
    </xf>
    <xf numFmtId="0" fontId="8" fillId="4" borderId="1" xfId="0" applyFont="1" applyFill="1" applyBorder="1" applyProtection="1">
      <protection locked="0"/>
    </xf>
    <xf numFmtId="3" fontId="8" fillId="4" borderId="1" xfId="0" applyNumberFormat="1" applyFont="1" applyFill="1" applyBorder="1" applyAlignment="1" applyProtection="1">
      <alignment horizontal="center" wrapText="1"/>
      <protection locked="0"/>
    </xf>
    <xf numFmtId="165" fontId="8" fillId="4" borderId="1" xfId="1" applyNumberFormat="1" applyFont="1" applyFill="1" applyBorder="1" applyAlignment="1" applyProtection="1">
      <alignment horizontal="center" wrapText="1"/>
      <protection locked="0"/>
    </xf>
    <xf numFmtId="49" fontId="0" fillId="0" borderId="1" xfId="0" applyNumberFormat="1" applyFont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65" fontId="0" fillId="0" borderId="1" xfId="1" applyNumberFormat="1" applyFont="1" applyBorder="1" applyProtection="1">
      <protection locked="0"/>
    </xf>
    <xf numFmtId="165" fontId="0" fillId="0" borderId="0" xfId="1" applyNumberFormat="1" applyFont="1" applyProtection="1">
      <protection locked="0"/>
    </xf>
    <xf numFmtId="0" fontId="7" fillId="3" borderId="1" xfId="0" applyFont="1" applyFill="1" applyBorder="1" applyAlignment="1" applyProtection="1">
      <alignment horizontal="center" wrapText="1"/>
      <protection locked="0"/>
    </xf>
    <xf numFmtId="165" fontId="7" fillId="3" borderId="1" xfId="1" applyNumberFormat="1" applyFont="1" applyFill="1" applyBorder="1" applyAlignment="1" applyProtection="1">
      <alignment horizontal="center" wrapText="1"/>
      <protection locked="0"/>
    </xf>
    <xf numFmtId="165" fontId="0" fillId="0" borderId="1" xfId="1" applyNumberFormat="1" applyFont="1" applyFill="1" applyBorder="1" applyProtection="1">
      <protection locked="0"/>
    </xf>
    <xf numFmtId="3" fontId="6" fillId="0" borderId="1" xfId="0" applyNumberFormat="1" applyFont="1" applyFill="1" applyBorder="1" applyProtection="1"/>
    <xf numFmtId="0" fontId="9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wrapText="1"/>
    </xf>
    <xf numFmtId="1" fontId="6" fillId="0" borderId="1" xfId="0" applyNumberFormat="1" applyFont="1" applyFill="1" applyBorder="1" applyAlignment="1" applyProtection="1">
      <alignment horizontal="right"/>
    </xf>
    <xf numFmtId="9" fontId="6" fillId="0" borderId="1" xfId="2" applyFont="1" applyFill="1" applyBorder="1" applyAlignment="1" applyProtection="1">
      <alignment horizontal="right"/>
    </xf>
    <xf numFmtId="165" fontId="0" fillId="0" borderId="1" xfId="1" applyNumberFormat="1" applyFont="1" applyBorder="1" applyProtection="1"/>
    <xf numFmtId="0" fontId="0" fillId="0" borderId="1" xfId="0" applyBorder="1" applyProtection="1"/>
    <xf numFmtId="3" fontId="2" fillId="0" borderId="1" xfId="0" applyNumberFormat="1" applyFont="1" applyFill="1" applyBorder="1" applyProtection="1"/>
    <xf numFmtId="3" fontId="4" fillId="0" borderId="1" xfId="0" applyNumberFormat="1" applyFont="1" applyFill="1" applyBorder="1" applyProtection="1"/>
    <xf numFmtId="165" fontId="0" fillId="0" borderId="1" xfId="1" applyNumberFormat="1" applyFont="1" applyFill="1" applyBorder="1" applyProtection="1"/>
    <xf numFmtId="3" fontId="0" fillId="0" borderId="1" xfId="0" applyNumberFormat="1" applyFill="1" applyBorder="1" applyProtection="1"/>
    <xf numFmtId="165" fontId="2" fillId="0" borderId="1" xfId="1" applyNumberFormat="1" applyFont="1" applyBorder="1" applyProtection="1"/>
    <xf numFmtId="0" fontId="2" fillId="0" borderId="1" xfId="0" applyFont="1" applyFill="1" applyBorder="1" applyAlignment="1" applyProtection="1">
      <alignment wrapText="1"/>
      <protection locked="0"/>
    </xf>
    <xf numFmtId="165" fontId="9" fillId="0" borderId="1" xfId="1" applyNumberFormat="1" applyFont="1" applyBorder="1" applyProtection="1"/>
    <xf numFmtId="0" fontId="9" fillId="0" borderId="0" xfId="0" applyFont="1" applyProtection="1"/>
    <xf numFmtId="165" fontId="9" fillId="0" borderId="0" xfId="1" applyNumberFormat="1" applyFont="1" applyProtection="1"/>
    <xf numFmtId="3" fontId="2" fillId="0" borderId="1" xfId="0" applyNumberFormat="1" applyFont="1" applyBorder="1" applyProtection="1"/>
    <xf numFmtId="165" fontId="2" fillId="0" borderId="1" xfId="1" applyNumberFormat="1" applyFont="1" applyFill="1" applyBorder="1" applyProtection="1"/>
    <xf numFmtId="0" fontId="0" fillId="0" borderId="1" xfId="0" applyFont="1" applyBorder="1" applyProtection="1">
      <protection locked="0"/>
    </xf>
    <xf numFmtId="165" fontId="9" fillId="0" borderId="1" xfId="0" applyNumberFormat="1" applyFont="1" applyBorder="1" applyProtection="1"/>
    <xf numFmtId="165" fontId="9" fillId="3" borderId="1" xfId="1" applyNumberFormat="1" applyFont="1" applyFill="1" applyBorder="1" applyProtection="1">
      <protection locked="0"/>
    </xf>
    <xf numFmtId="0" fontId="11" fillId="0" borderId="0" xfId="0" applyFont="1" applyProtection="1"/>
    <xf numFmtId="0" fontId="9" fillId="0" borderId="1" xfId="0" applyFont="1" applyBorder="1" applyAlignment="1" applyProtection="1">
      <alignment wrapText="1"/>
    </xf>
    <xf numFmtId="9" fontId="9" fillId="0" borderId="1" xfId="2" applyFont="1" applyBorder="1" applyProtection="1"/>
    <xf numFmtId="0" fontId="0" fillId="0" borderId="0" xfId="0" applyFill="1" applyAlignment="1" applyProtection="1">
      <alignment horizontal="right" vertical="top" wrapText="1"/>
      <protection locked="0"/>
    </xf>
    <xf numFmtId="164" fontId="9" fillId="0" borderId="1" xfId="1" applyFont="1" applyBorder="1" applyProtection="1"/>
    <xf numFmtId="0" fontId="9" fillId="0" borderId="0" xfId="0" applyFont="1" applyBorder="1" applyProtection="1">
      <protection locked="0"/>
    </xf>
    <xf numFmtId="0" fontId="4" fillId="0" borderId="1" xfId="0" applyFont="1" applyBorder="1" applyProtection="1">
      <protection locked="0"/>
    </xf>
    <xf numFmtId="166" fontId="0" fillId="3" borderId="1" xfId="0" applyNumberFormat="1" applyFill="1" applyBorder="1" applyProtection="1">
      <protection locked="0"/>
    </xf>
    <xf numFmtId="0" fontId="9" fillId="0" borderId="0" xfId="0" applyFont="1" applyBorder="1" applyProtection="1"/>
    <xf numFmtId="0" fontId="11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</xf>
    <xf numFmtId="0" fontId="11" fillId="0" borderId="2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Kostnadsfordeling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24AF-40EB-B245-39E71E9C79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24AF-40EB-B245-39E71E9C79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24AF-40EB-B245-39E71E9C79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24AF-40EB-B245-39E71E9C79C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24AF-40EB-B245-39E71E9C79C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92D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4AF-40EB-B245-39E71E9C79C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4AF-40EB-B245-39E71E9C79CA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4AF-40EB-B245-39E71E9C79CA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24AF-40EB-B245-39E71E9C79CA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4AF-40EB-B245-39E71E9C79CA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Oversikt!$A$3:$A$7</c:f>
              <c:strCache>
                <c:ptCount val="5"/>
                <c:pt idx="0">
                  <c:v>Forelesning</c:v>
                </c:pt>
                <c:pt idx="1">
                  <c:v>Kurs</c:v>
                </c:pt>
                <c:pt idx="2">
                  <c:v>Smågrupper</c:v>
                </c:pt>
                <c:pt idx="3">
                  <c:v>Eksamen</c:v>
                </c:pt>
                <c:pt idx="4">
                  <c:v>Oppgaver</c:v>
                </c:pt>
              </c:strCache>
            </c:strRef>
          </c:cat>
          <c:val>
            <c:numRef>
              <c:f>Oversikt!$B$3:$B$7</c:f>
              <c:numCache>
                <c:formatCode>_ * #\ ##0_ ;_ * \-#\ ##0_ ;_ * "-"??_ ;_ @_ </c:formatCode>
                <c:ptCount val="5"/>
                <c:pt idx="0">
                  <c:v>293150</c:v>
                </c:pt>
                <c:pt idx="1">
                  <c:v>1585333.3333333333</c:v>
                </c:pt>
                <c:pt idx="2">
                  <c:v>0</c:v>
                </c:pt>
                <c:pt idx="3">
                  <c:v>1224550.8659999999</c:v>
                </c:pt>
                <c:pt idx="4">
                  <c:v>233750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AF-40EB-B245-39E71E9C79C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Timer pr SP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Oversikt!$K$15</c:f>
              <c:strCache>
                <c:ptCount val="1"/>
                <c:pt idx="0">
                  <c:v>Timer pr SP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Oversikt!$H$16:$H$19</c:f>
              <c:strCache>
                <c:ptCount val="4"/>
                <c:pt idx="0">
                  <c:v>År 1</c:v>
                </c:pt>
                <c:pt idx="1">
                  <c:v>År 2</c:v>
                </c:pt>
                <c:pt idx="2">
                  <c:v>År 3</c:v>
                </c:pt>
                <c:pt idx="3">
                  <c:v>År 4</c:v>
                </c:pt>
              </c:strCache>
            </c:strRef>
          </c:cat>
          <c:val>
            <c:numRef>
              <c:f>Oversikt!$K$16:$K$19</c:f>
              <c:numCache>
                <c:formatCode>_ * #\ ##0.00_ ;_ * \-#\ ##0.00_ ;_ * "-"??_ ;_ @_ </c:formatCode>
                <c:ptCount val="4"/>
                <c:pt idx="0">
                  <c:v>5.5</c:v>
                </c:pt>
                <c:pt idx="1">
                  <c:v>4.2166666666666668</c:v>
                </c:pt>
                <c:pt idx="2">
                  <c:v>4.28</c:v>
                </c:pt>
                <c:pt idx="3">
                  <c:v>4.38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5E-4FEF-BA3B-C8EA92028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149608"/>
        <c:axId val="226150592"/>
      </c:barChart>
      <c:catAx>
        <c:axId val="22614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6150592"/>
        <c:crosses val="autoZero"/>
        <c:auto val="1"/>
        <c:lblAlgn val="ctr"/>
        <c:lblOffset val="100"/>
        <c:noMultiLvlLbl val="0"/>
      </c:catAx>
      <c:valAx>
        <c:axId val="22615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\ ##0.00_ ;_ * \-#\ 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6149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Oversikt!$M$15</c:f>
              <c:strCache>
                <c:ptCount val="1"/>
                <c:pt idx="0">
                  <c:v>Prosent av høyeste antall timer pr SP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Oversikt!$H$16:$H$19</c:f>
              <c:strCache>
                <c:ptCount val="4"/>
                <c:pt idx="0">
                  <c:v>År 1</c:v>
                </c:pt>
                <c:pt idx="1">
                  <c:v>År 2</c:v>
                </c:pt>
                <c:pt idx="2">
                  <c:v>År 3</c:v>
                </c:pt>
                <c:pt idx="3">
                  <c:v>År 4</c:v>
                </c:pt>
              </c:strCache>
            </c:strRef>
          </c:cat>
          <c:val>
            <c:numRef>
              <c:f>Oversikt!$M$16:$M$19</c:f>
              <c:numCache>
                <c:formatCode>0%</c:formatCode>
                <c:ptCount val="4"/>
                <c:pt idx="0">
                  <c:v>1</c:v>
                </c:pt>
                <c:pt idx="1">
                  <c:v>0.76666666666666672</c:v>
                </c:pt>
                <c:pt idx="2">
                  <c:v>0.7781818181818182</c:v>
                </c:pt>
                <c:pt idx="3">
                  <c:v>0.79636363636363638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D6-4604-98D7-0345164F1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7812024"/>
        <c:axId val="597816944"/>
      </c:barChart>
      <c:catAx>
        <c:axId val="597812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97816944"/>
        <c:crosses val="autoZero"/>
        <c:auto val="1"/>
        <c:lblAlgn val="ctr"/>
        <c:lblOffset val="100"/>
        <c:noMultiLvlLbl val="0"/>
      </c:catAx>
      <c:valAx>
        <c:axId val="59781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97812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0</xdr:rowOff>
    </xdr:from>
    <xdr:to>
      <xdr:col>5</xdr:col>
      <xdr:colOff>1076325</xdr:colOff>
      <xdr:row>29</xdr:row>
      <xdr:rowOff>180975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742950</xdr:colOff>
      <xdr:row>19</xdr:row>
      <xdr:rowOff>66675</xdr:rowOff>
    </xdr:from>
    <xdr:to>
      <xdr:col>12</xdr:col>
      <xdr:colOff>742950</xdr:colOff>
      <xdr:row>29</xdr:row>
      <xdr:rowOff>219076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104776</xdr:colOff>
      <xdr:row>19</xdr:row>
      <xdr:rowOff>47625</xdr:rowOff>
    </xdr:from>
    <xdr:to>
      <xdr:col>17</xdr:col>
      <xdr:colOff>542926</xdr:colOff>
      <xdr:row>29</xdr:row>
      <xdr:rowOff>190500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baseColWidth="10" defaultColWidth="11.42578125" defaultRowHeight="15" x14ac:dyDescent="0.25"/>
  <cols>
    <col min="1" max="1" width="64.85546875" style="6" bestFit="1" customWidth="1"/>
    <col min="2" max="2" width="7.5703125" style="6" bestFit="1" customWidth="1"/>
    <col min="3" max="3" width="18.5703125" style="6" hidden="1" customWidth="1"/>
    <col min="4" max="5" width="18.5703125" style="6" customWidth="1"/>
    <col min="6" max="6" width="10.42578125" style="6" customWidth="1"/>
    <col min="7" max="7" width="9.140625" style="6" hidden="1" customWidth="1"/>
    <col min="8" max="8" width="11.28515625" style="6" customWidth="1"/>
    <col min="9" max="9" width="8.7109375" style="6" customWidth="1"/>
    <col min="10" max="229" width="9.140625" style="6" customWidth="1"/>
    <col min="230" max="16384" width="11.42578125" style="6"/>
  </cols>
  <sheetData>
    <row r="1" spans="1:9" ht="23.25" x14ac:dyDescent="0.35">
      <c r="A1" s="71" t="s">
        <v>89</v>
      </c>
      <c r="B1" s="71"/>
      <c r="C1" s="71"/>
      <c r="D1" s="71"/>
      <c r="E1" s="71"/>
      <c r="F1" s="71"/>
      <c r="G1" s="71"/>
      <c r="H1" s="71"/>
      <c r="I1" s="71"/>
    </row>
    <row r="3" spans="1:9" ht="18.75" x14ac:dyDescent="0.3">
      <c r="A3" s="7" t="s">
        <v>31</v>
      </c>
      <c r="B3" s="8">
        <v>250</v>
      </c>
      <c r="C3" s="9"/>
      <c r="D3" s="10"/>
    </row>
    <row r="4" spans="1:9" ht="18.75" x14ac:dyDescent="0.3">
      <c r="A4" s="7" t="s">
        <v>32</v>
      </c>
      <c r="B4" s="8">
        <v>483</v>
      </c>
      <c r="C4" s="9"/>
      <c r="D4" s="10"/>
    </row>
    <row r="5" spans="1:9" ht="18.75" x14ac:dyDescent="0.3">
      <c r="A5" s="7" t="s">
        <v>9</v>
      </c>
      <c r="B5" s="40">
        <f>20*50</f>
        <v>1000</v>
      </c>
      <c r="C5" s="9"/>
      <c r="D5" s="10"/>
    </row>
    <row r="6" spans="1:9" ht="18.75" x14ac:dyDescent="0.3">
      <c r="A6" s="11" t="s">
        <v>1</v>
      </c>
      <c r="B6" s="40">
        <f>B5/50</f>
        <v>20</v>
      </c>
      <c r="C6" s="9"/>
      <c r="D6" s="10"/>
      <c r="E6" s="12"/>
      <c r="F6" s="12"/>
      <c r="G6" s="10"/>
      <c r="H6" s="9"/>
      <c r="I6" s="9"/>
    </row>
    <row r="7" spans="1:9" ht="18.75" x14ac:dyDescent="0.3">
      <c r="A7" s="13"/>
      <c r="B7" s="41"/>
    </row>
    <row r="8" spans="1:9" ht="18.75" x14ac:dyDescent="0.3">
      <c r="A8" s="14" t="s">
        <v>0</v>
      </c>
      <c r="B8" s="42">
        <v>2050</v>
      </c>
      <c r="C8" s="15"/>
    </row>
    <row r="9" spans="1:9" ht="18.75" x14ac:dyDescent="0.3">
      <c r="A9" s="14" t="s">
        <v>50</v>
      </c>
      <c r="B9" s="42">
        <v>340</v>
      </c>
      <c r="C9" s="64" t="s">
        <v>52</v>
      </c>
    </row>
    <row r="10" spans="1:9" ht="18.75" x14ac:dyDescent="0.3">
      <c r="A10" s="14" t="s">
        <v>51</v>
      </c>
      <c r="B10" s="42">
        <v>183</v>
      </c>
      <c r="C10" s="64" t="s">
        <v>53</v>
      </c>
    </row>
    <row r="11" spans="1:9" ht="18.75" x14ac:dyDescent="0.3">
      <c r="A11" s="14" t="s">
        <v>33</v>
      </c>
      <c r="B11" s="43">
        <f>335.8*1.28</f>
        <v>429.82400000000001</v>
      </c>
    </row>
    <row r="12" spans="1:9" ht="18.75" x14ac:dyDescent="0.3">
      <c r="A12" s="14" t="s">
        <v>16</v>
      </c>
      <c r="B12" s="44">
        <v>0.14099999999999999</v>
      </c>
    </row>
    <row r="13" spans="1:9" ht="18.75" x14ac:dyDescent="0.3">
      <c r="A13" s="14" t="s">
        <v>28</v>
      </c>
      <c r="B13" s="43">
        <v>325</v>
      </c>
      <c r="C13" s="6">
        <v>4</v>
      </c>
    </row>
    <row r="14" spans="1:9" ht="18.75" x14ac:dyDescent="0.3">
      <c r="A14" s="14" t="s">
        <v>27</v>
      </c>
      <c r="B14" s="43">
        <v>461</v>
      </c>
      <c r="C14" s="6">
        <v>6</v>
      </c>
    </row>
  </sheetData>
  <sheetProtection algorithmName="SHA-512" hashValue="nvW/t3DYZiL3VA+3I8AcdakILExRGbuXRcyWUMPfye+4YNer4tHG9E8835zp5xhbsCLLcFD6su9kLxYcDTCUbA==" saltValue="2OjBahF/Y7GaessneEd5Pg==" spinCount="100000" sheet="1" objects="1" scenarios="1" selectLockedCells="1"/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B26" sqref="B26"/>
    </sheetView>
  </sheetViews>
  <sheetFormatPr baseColWidth="10" defaultColWidth="11.42578125" defaultRowHeight="15" x14ac:dyDescent="0.25"/>
  <cols>
    <col min="1" max="1" width="37.42578125" style="6" bestFit="1" customWidth="1"/>
    <col min="2" max="2" width="11.42578125" style="6"/>
    <col min="3" max="3" width="11.42578125" style="36"/>
    <col min="4" max="16384" width="11.42578125" style="6"/>
  </cols>
  <sheetData>
    <row r="1" spans="1:3" x14ac:dyDescent="0.25">
      <c r="B1" s="6" t="s">
        <v>6</v>
      </c>
      <c r="C1" s="36" t="s">
        <v>7</v>
      </c>
    </row>
    <row r="2" spans="1:3" x14ac:dyDescent="0.25">
      <c r="A2" s="18" t="s">
        <v>2</v>
      </c>
      <c r="B2" s="24"/>
      <c r="C2" s="35"/>
    </row>
    <row r="3" spans="1:3" x14ac:dyDescent="0.25">
      <c r="A3" s="26" t="s">
        <v>56</v>
      </c>
      <c r="B3" s="24"/>
      <c r="C3" s="35"/>
    </row>
    <row r="4" spans="1:3" x14ac:dyDescent="0.25">
      <c r="A4" s="20" t="s">
        <v>57</v>
      </c>
      <c r="B4" s="24"/>
      <c r="C4" s="35"/>
    </row>
    <row r="5" spans="1:3" x14ac:dyDescent="0.25">
      <c r="A5" s="58" t="s">
        <v>77</v>
      </c>
      <c r="B5" s="2">
        <v>2</v>
      </c>
      <c r="C5" s="45">
        <f>B5*Input!$B$8</f>
        <v>4100</v>
      </c>
    </row>
    <row r="6" spans="1:3" x14ac:dyDescent="0.25">
      <c r="A6" s="24" t="s">
        <v>58</v>
      </c>
      <c r="B6" s="2">
        <v>20</v>
      </c>
      <c r="C6" s="45">
        <f>B6*Input!$B$8</f>
        <v>41000</v>
      </c>
    </row>
    <row r="7" spans="1:3" x14ac:dyDescent="0.25">
      <c r="A7" s="24" t="s">
        <v>59</v>
      </c>
      <c r="B7" s="2">
        <v>18</v>
      </c>
      <c r="C7" s="45">
        <f>B7*Input!$B$8</f>
        <v>36900</v>
      </c>
    </row>
    <row r="8" spans="1:3" x14ac:dyDescent="0.25">
      <c r="A8" s="24" t="s">
        <v>60</v>
      </c>
      <c r="B8" s="2">
        <v>18</v>
      </c>
      <c r="C8" s="45">
        <f>B8*Input!$B$8</f>
        <v>36900</v>
      </c>
    </row>
    <row r="9" spans="1:3" x14ac:dyDescent="0.25">
      <c r="A9" s="24" t="s">
        <v>61</v>
      </c>
      <c r="B9" s="2">
        <v>0</v>
      </c>
      <c r="C9" s="45">
        <f>B9*Input!$B$8</f>
        <v>0</v>
      </c>
    </row>
    <row r="10" spans="1:3" x14ac:dyDescent="0.25">
      <c r="A10" s="24" t="s">
        <v>62</v>
      </c>
      <c r="B10" s="2"/>
      <c r="C10" s="45">
        <f>B10*Input!$B$8</f>
        <v>0</v>
      </c>
    </row>
    <row r="11" spans="1:3" x14ac:dyDescent="0.25">
      <c r="A11" s="24" t="s">
        <v>63</v>
      </c>
      <c r="B11" s="2">
        <v>0</v>
      </c>
      <c r="C11" s="45">
        <f>B11*Input!$B$8</f>
        <v>0</v>
      </c>
    </row>
    <row r="12" spans="1:3" x14ac:dyDescent="0.25">
      <c r="A12" s="24" t="s">
        <v>64</v>
      </c>
      <c r="B12" s="2"/>
      <c r="C12" s="45">
        <f>B12*Input!$B$8</f>
        <v>0</v>
      </c>
    </row>
    <row r="13" spans="1:3" x14ac:dyDescent="0.25">
      <c r="A13" s="24" t="s">
        <v>65</v>
      </c>
      <c r="B13" s="2">
        <v>6</v>
      </c>
      <c r="C13" s="45">
        <f>B13*Input!$B$8</f>
        <v>12300</v>
      </c>
    </row>
    <row r="14" spans="1:3" x14ac:dyDescent="0.25">
      <c r="A14" s="24"/>
      <c r="B14" s="4"/>
      <c r="C14" s="45"/>
    </row>
    <row r="15" spans="1:3" x14ac:dyDescent="0.25">
      <c r="A15" s="26" t="s">
        <v>66</v>
      </c>
      <c r="B15" s="24"/>
      <c r="C15" s="45"/>
    </row>
    <row r="16" spans="1:3" x14ac:dyDescent="0.25">
      <c r="A16" s="20" t="s">
        <v>67</v>
      </c>
      <c r="B16" s="24"/>
      <c r="C16" s="45"/>
    </row>
    <row r="17" spans="1:3" x14ac:dyDescent="0.25">
      <c r="A17" s="24" t="s">
        <v>68</v>
      </c>
      <c r="B17" s="2">
        <v>2</v>
      </c>
      <c r="C17" s="45">
        <f>B17*Input!$B$8</f>
        <v>4100</v>
      </c>
    </row>
    <row r="18" spans="1:3" x14ac:dyDescent="0.25">
      <c r="A18" s="24" t="s">
        <v>69</v>
      </c>
      <c r="B18" s="2">
        <v>18</v>
      </c>
      <c r="C18" s="45">
        <f>B18*Input!$B$8</f>
        <v>36900</v>
      </c>
    </row>
    <row r="19" spans="1:3" x14ac:dyDescent="0.25">
      <c r="A19" s="24" t="s">
        <v>70</v>
      </c>
      <c r="B19" s="2">
        <v>4</v>
      </c>
      <c r="C19" s="45">
        <f>B19*Input!$B$8</f>
        <v>8200</v>
      </c>
    </row>
    <row r="20" spans="1:3" x14ac:dyDescent="0.25">
      <c r="A20" s="26" t="s">
        <v>71</v>
      </c>
      <c r="B20" s="24"/>
      <c r="C20" s="45"/>
    </row>
    <row r="21" spans="1:3" x14ac:dyDescent="0.25">
      <c r="A21" s="20" t="s">
        <v>35</v>
      </c>
      <c r="B21" s="24"/>
      <c r="C21" s="45"/>
    </row>
    <row r="22" spans="1:3" x14ac:dyDescent="0.25">
      <c r="A22" s="24" t="s">
        <v>72</v>
      </c>
      <c r="B22" s="2">
        <v>3</v>
      </c>
      <c r="C22" s="45">
        <f>B22*Input!$B$8</f>
        <v>6150</v>
      </c>
    </row>
    <row r="23" spans="1:3" x14ac:dyDescent="0.25">
      <c r="A23" s="24" t="s">
        <v>82</v>
      </c>
      <c r="B23" s="2">
        <v>14</v>
      </c>
      <c r="C23" s="45">
        <f>B23*Input!$B$8</f>
        <v>28700</v>
      </c>
    </row>
    <row r="24" spans="1:3" x14ac:dyDescent="0.25">
      <c r="A24" s="24" t="s">
        <v>73</v>
      </c>
      <c r="B24" s="2">
        <v>14</v>
      </c>
      <c r="C24" s="45">
        <f>B24*Input!$B$8</f>
        <v>28700</v>
      </c>
    </row>
    <row r="25" spans="1:3" x14ac:dyDescent="0.25">
      <c r="A25" s="24" t="s">
        <v>74</v>
      </c>
      <c r="B25" s="2">
        <v>14</v>
      </c>
      <c r="C25" s="45">
        <f>B25*Input!$B$8</f>
        <v>28700</v>
      </c>
    </row>
    <row r="26" spans="1:3" x14ac:dyDescent="0.25">
      <c r="A26" s="24" t="s">
        <v>75</v>
      </c>
      <c r="B26" s="2"/>
      <c r="C26" s="45">
        <f>B26*Input!$B$8</f>
        <v>0</v>
      </c>
    </row>
    <row r="27" spans="1:3" x14ac:dyDescent="0.25">
      <c r="A27" s="24" t="s">
        <v>76</v>
      </c>
      <c r="B27" s="2">
        <v>10</v>
      </c>
      <c r="C27" s="45">
        <f>B27*Input!$B$8</f>
        <v>20500</v>
      </c>
    </row>
    <row r="28" spans="1:3" s="23" customFormat="1" x14ac:dyDescent="0.25">
      <c r="A28" s="21" t="s">
        <v>5</v>
      </c>
      <c r="B28" s="56">
        <f>SUM(B3:B27)</f>
        <v>143</v>
      </c>
      <c r="C28" s="51">
        <f>SUM(C3:C27)</f>
        <v>293150</v>
      </c>
    </row>
  </sheetData>
  <sheetProtection algorithmName="SHA-512" hashValue="+SZ0LAKf/vNmfQQ7rvfflxi/w4APMUdJG0rfW5/nfvYTIplFScVWA5wegYnV8P9SH10x9lH4MUhMjrW+NdikVQ==" saltValue="QTXdN1ZIsoVFUaFtO6uxhQ==" spinCount="100000" sheet="1" selectLockedCells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27"/>
  <sheetViews>
    <sheetView workbookViewId="0">
      <selection activeCell="C18" sqref="C18"/>
    </sheetView>
  </sheetViews>
  <sheetFormatPr baseColWidth="10" defaultColWidth="11.42578125" defaultRowHeight="15" x14ac:dyDescent="0.25"/>
  <cols>
    <col min="1" max="1" width="34.28515625" style="6" bestFit="1" customWidth="1"/>
    <col min="2" max="3" width="11.42578125" style="6"/>
    <col min="4" max="4" width="13" style="6" customWidth="1"/>
    <col min="5" max="5" width="11.42578125" style="36"/>
    <col min="6" max="16384" width="11.42578125" style="6"/>
  </cols>
  <sheetData>
    <row r="2" spans="1:5" ht="43.5" x14ac:dyDescent="0.25">
      <c r="A2" s="18" t="s">
        <v>2</v>
      </c>
      <c r="B2" s="37" t="s">
        <v>3</v>
      </c>
      <c r="C2" s="37" t="s">
        <v>4</v>
      </c>
      <c r="D2" s="37" t="s">
        <v>8</v>
      </c>
      <c r="E2" s="22" t="s">
        <v>7</v>
      </c>
    </row>
    <row r="3" spans="1:5" x14ac:dyDescent="0.25">
      <c r="A3" s="26" t="s">
        <v>56</v>
      </c>
      <c r="B3" s="5"/>
      <c r="C3" s="5"/>
      <c r="D3" s="5"/>
      <c r="E3" s="39"/>
    </row>
    <row r="4" spans="1:5" x14ac:dyDescent="0.25">
      <c r="A4" s="20" t="s">
        <v>57</v>
      </c>
      <c r="B4" s="5"/>
      <c r="C4" s="5"/>
      <c r="D4" s="5"/>
      <c r="E4" s="39"/>
    </row>
    <row r="5" spans="1:5" x14ac:dyDescent="0.25">
      <c r="A5" s="24" t="s">
        <v>77</v>
      </c>
      <c r="B5" s="2"/>
      <c r="C5" s="2"/>
      <c r="D5" s="48">
        <f>IF(C5&gt;0,Input!$B$3/Kurs!C5,0)</f>
        <v>0</v>
      </c>
      <c r="E5" s="49">
        <f>D5*B5*Input!$B$8</f>
        <v>0</v>
      </c>
    </row>
    <row r="6" spans="1:5" x14ac:dyDescent="0.25">
      <c r="A6" s="24" t="s">
        <v>58</v>
      </c>
      <c r="B6" s="2">
        <v>18</v>
      </c>
      <c r="C6" s="2">
        <v>40</v>
      </c>
      <c r="D6" s="48">
        <f>IF(C6&gt;0,Input!$B$3/Kurs!C6,0)</f>
        <v>6.25</v>
      </c>
      <c r="E6" s="49">
        <f>D6*B6*Input!$B$8</f>
        <v>230625</v>
      </c>
    </row>
    <row r="7" spans="1:5" x14ac:dyDescent="0.25">
      <c r="A7" s="24" t="s">
        <v>59</v>
      </c>
      <c r="B7" s="2">
        <v>18</v>
      </c>
      <c r="C7" s="2">
        <v>40</v>
      </c>
      <c r="D7" s="48">
        <f>IF(C7&gt;0,Input!$B$3/Kurs!C7,0)</f>
        <v>6.25</v>
      </c>
      <c r="E7" s="49">
        <f>D7*B7*Input!$B$8</f>
        <v>230625</v>
      </c>
    </row>
    <row r="8" spans="1:5" x14ac:dyDescent="0.25">
      <c r="A8" s="24" t="s">
        <v>60</v>
      </c>
      <c r="B8" s="2">
        <v>18</v>
      </c>
      <c r="C8" s="2">
        <v>40</v>
      </c>
      <c r="D8" s="48">
        <f>IF(C8&gt;0,Input!$B$3/Kurs!C8,0)</f>
        <v>6.25</v>
      </c>
      <c r="E8" s="49">
        <f>D8*B8*Input!$B$8</f>
        <v>230625</v>
      </c>
    </row>
    <row r="9" spans="1:5" x14ac:dyDescent="0.25">
      <c r="A9" s="24" t="s">
        <v>61</v>
      </c>
      <c r="B9" s="2"/>
      <c r="C9" s="2"/>
      <c r="D9" s="48">
        <f>IF(C9&gt;0,Input!$B$3/Kurs!C9,0)</f>
        <v>0</v>
      </c>
      <c r="E9" s="49">
        <f>D9*B9*Input!$B$8</f>
        <v>0</v>
      </c>
    </row>
    <row r="10" spans="1:5" x14ac:dyDescent="0.25">
      <c r="A10" s="24" t="s">
        <v>62</v>
      </c>
      <c r="B10" s="2">
        <v>9</v>
      </c>
      <c r="C10" s="2">
        <v>25</v>
      </c>
      <c r="D10" s="48">
        <f>IF(C10&gt;0,Input!$B$3/Kurs!C10,0)</f>
        <v>10</v>
      </c>
      <c r="E10" s="49">
        <f>D10*B10*Input!$B$8</f>
        <v>184500</v>
      </c>
    </row>
    <row r="11" spans="1:5" x14ac:dyDescent="0.25">
      <c r="A11" s="24" t="s">
        <v>81</v>
      </c>
      <c r="B11" s="2"/>
      <c r="C11" s="2"/>
      <c r="D11" s="48">
        <f>IF(C11&gt;0,Input!$B$3/Kurs!C11,0)</f>
        <v>0</v>
      </c>
      <c r="E11" s="49">
        <f>D11*B11*Input!$B$8</f>
        <v>0</v>
      </c>
    </row>
    <row r="12" spans="1:5" x14ac:dyDescent="0.25">
      <c r="A12" s="24" t="s">
        <v>64</v>
      </c>
      <c r="B12" s="2"/>
      <c r="C12" s="2"/>
      <c r="D12" s="48">
        <f>IF(C12&gt;0,Input!$B$3/Kurs!C12,0)</f>
        <v>0</v>
      </c>
      <c r="E12" s="49">
        <f>D12*B12*Input!$B$8</f>
        <v>0</v>
      </c>
    </row>
    <row r="13" spans="1:5" x14ac:dyDescent="0.25">
      <c r="A13" s="24" t="s">
        <v>65</v>
      </c>
      <c r="B13" s="2"/>
      <c r="C13" s="2"/>
      <c r="D13" s="48">
        <f>IF(C13&gt;0,Input!$B$3/Kurs!C13,0)</f>
        <v>0</v>
      </c>
      <c r="E13" s="49">
        <f>D13*B13*Input!$B$8</f>
        <v>0</v>
      </c>
    </row>
    <row r="14" spans="1:5" x14ac:dyDescent="0.25">
      <c r="A14" s="24"/>
      <c r="B14" s="4"/>
      <c r="C14" s="4"/>
      <c r="D14" s="48"/>
      <c r="E14" s="49"/>
    </row>
    <row r="15" spans="1:5" x14ac:dyDescent="0.25">
      <c r="A15" s="26" t="s">
        <v>66</v>
      </c>
      <c r="B15" s="4"/>
      <c r="C15" s="4"/>
      <c r="D15" s="48"/>
      <c r="E15" s="49"/>
    </row>
    <row r="16" spans="1:5" x14ac:dyDescent="0.25">
      <c r="A16" s="20" t="s">
        <v>67</v>
      </c>
      <c r="B16" s="4"/>
      <c r="C16" s="4"/>
      <c r="D16" s="48"/>
      <c r="E16" s="49"/>
    </row>
    <row r="17" spans="1:5" x14ac:dyDescent="0.25">
      <c r="A17" s="24" t="s">
        <v>68</v>
      </c>
      <c r="B17" s="2"/>
      <c r="C17" s="2"/>
      <c r="D17" s="48">
        <f>IF(C17&gt;0,Input!$B$3/Kurs!C17,0)</f>
        <v>0</v>
      </c>
      <c r="E17" s="49">
        <f>D17*B17*Input!$B$8</f>
        <v>0</v>
      </c>
    </row>
    <row r="18" spans="1:5" x14ac:dyDescent="0.25">
      <c r="A18" s="24" t="s">
        <v>69</v>
      </c>
      <c r="B18" s="2">
        <v>8</v>
      </c>
      <c r="C18" s="2">
        <v>40</v>
      </c>
      <c r="D18" s="48">
        <f>IF(C18&gt;0,Input!$B$3/Kurs!C18,0)</f>
        <v>6.25</v>
      </c>
      <c r="E18" s="49">
        <f>D18*B18*Input!$B$8</f>
        <v>102500</v>
      </c>
    </row>
    <row r="19" spans="1:5" x14ac:dyDescent="0.25">
      <c r="A19" s="67" t="s">
        <v>70</v>
      </c>
      <c r="B19" s="2">
        <v>8</v>
      </c>
      <c r="C19" s="2">
        <v>40</v>
      </c>
      <c r="D19" s="48">
        <f>IF(C19&gt;0,Input!$B$3/Kurs!C19,0)</f>
        <v>6.25</v>
      </c>
      <c r="E19" s="49">
        <f>D19*B19*Input!$B$8</f>
        <v>102500</v>
      </c>
    </row>
    <row r="20" spans="1:5" x14ac:dyDescent="0.25">
      <c r="A20" s="26" t="s">
        <v>71</v>
      </c>
      <c r="B20" s="4"/>
      <c r="C20" s="4"/>
      <c r="D20" s="48"/>
      <c r="E20" s="49"/>
    </row>
    <row r="21" spans="1:5" x14ac:dyDescent="0.25">
      <c r="A21" s="67" t="s">
        <v>72</v>
      </c>
      <c r="B21" s="2"/>
      <c r="C21" s="2"/>
      <c r="D21" s="48">
        <f>IF(C21&gt;0,Input!$B$3/Kurs!C21,0)</f>
        <v>0</v>
      </c>
      <c r="E21" s="49">
        <f>D21*B21*Input!$B$8</f>
        <v>0</v>
      </c>
    </row>
    <row r="22" spans="1:5" x14ac:dyDescent="0.25">
      <c r="A22" s="67" t="s">
        <v>82</v>
      </c>
      <c r="B22" s="2">
        <v>10</v>
      </c>
      <c r="C22" s="2">
        <v>40</v>
      </c>
      <c r="D22" s="48">
        <f>IF(C22&gt;0,Input!$B$3/Kurs!C22,0)</f>
        <v>6.25</v>
      </c>
      <c r="E22" s="49">
        <f>D22*B22*Input!$B$8</f>
        <v>128125</v>
      </c>
    </row>
    <row r="23" spans="1:5" x14ac:dyDescent="0.25">
      <c r="A23" s="67" t="s">
        <v>73</v>
      </c>
      <c r="B23" s="2">
        <v>10</v>
      </c>
      <c r="C23" s="2">
        <v>30</v>
      </c>
      <c r="D23" s="48">
        <f>IF(C23&gt;0,Input!$B$3/Kurs!C23,0)</f>
        <v>8.3333333333333339</v>
      </c>
      <c r="E23" s="49">
        <f>D23*B23*Input!$B$8</f>
        <v>170833.33333333334</v>
      </c>
    </row>
    <row r="24" spans="1:5" x14ac:dyDescent="0.25">
      <c r="A24" s="67" t="s">
        <v>74</v>
      </c>
      <c r="B24" s="2">
        <v>10</v>
      </c>
      <c r="C24" s="2">
        <v>25</v>
      </c>
      <c r="D24" s="48">
        <f>IF(C24&gt;0,Input!$B$3/Kurs!C24,0)</f>
        <v>10</v>
      </c>
      <c r="E24" s="49">
        <f>D24*B24*Input!$B$8</f>
        <v>205000</v>
      </c>
    </row>
    <row r="25" spans="1:5" x14ac:dyDescent="0.25">
      <c r="A25" s="24" t="s">
        <v>75</v>
      </c>
      <c r="B25" s="2"/>
      <c r="C25" s="2"/>
      <c r="D25" s="48">
        <f>IF(C25&gt;0,Input!$B$3/Kurs!C25,0)</f>
        <v>0</v>
      </c>
      <c r="E25" s="49">
        <f>D25*B25*Input!$B$8</f>
        <v>0</v>
      </c>
    </row>
    <row r="26" spans="1:5" x14ac:dyDescent="0.25">
      <c r="A26" s="24" t="s">
        <v>65</v>
      </c>
      <c r="B26" s="2"/>
      <c r="C26" s="2"/>
      <c r="D26" s="48">
        <f>IF(C26&gt;0,Input!$B$3/Kurs!C26,0)</f>
        <v>0</v>
      </c>
      <c r="E26" s="49">
        <f>D26*B26*Input!$B$8</f>
        <v>0</v>
      </c>
    </row>
    <row r="27" spans="1:5" s="23" customFormat="1" x14ac:dyDescent="0.25">
      <c r="A27" s="21" t="s">
        <v>5</v>
      </c>
      <c r="B27" s="47">
        <f>SUM(B3:B26)</f>
        <v>109</v>
      </c>
      <c r="C27" s="3"/>
      <c r="D27" s="47"/>
      <c r="E27" s="57">
        <f>SUM(E3:E26)</f>
        <v>1585333.3333333333</v>
      </c>
    </row>
  </sheetData>
  <sheetProtection algorithmName="SHA-512" hashValue="3nu5YLeVfJyEHqcAOeCSDK1fh0bh10OuQaQ9NBtjYyUl5fkrdydd+Vo/BG4v5QjJQov0lg4DbkOAQloyu8HnDA==" saltValue="4sRtoY7agiEzFjqz7uRV8g==" spinCount="100000" sheet="1" selectLockedCells="1"/>
  <pageMargins left="0.7" right="0.7" top="0.75" bottom="0.75" header="0.3" footer="0.3"/>
  <pageSetup paperSize="9"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zoomScale="120" zoomScaleNormal="120" workbookViewId="0">
      <selection activeCell="C23" sqref="C23"/>
    </sheetView>
  </sheetViews>
  <sheetFormatPr baseColWidth="10" defaultColWidth="11.42578125" defaultRowHeight="15" x14ac:dyDescent="0.25"/>
  <cols>
    <col min="1" max="1" width="34.28515625" style="6" bestFit="1" customWidth="1"/>
    <col min="2" max="4" width="11.42578125" style="6"/>
    <col min="5" max="5" width="11.42578125" style="36"/>
    <col min="6" max="16384" width="11.42578125" style="6"/>
  </cols>
  <sheetData>
    <row r="2" spans="1:5" ht="43.5" x14ac:dyDescent="0.25">
      <c r="A2" s="18" t="s">
        <v>2</v>
      </c>
      <c r="B2" s="37" t="s">
        <v>6</v>
      </c>
      <c r="C2" s="37" t="s">
        <v>10</v>
      </c>
      <c r="D2" s="37" t="s">
        <v>11</v>
      </c>
      <c r="E2" s="38" t="s">
        <v>7</v>
      </c>
    </row>
    <row r="3" spans="1:5" x14ac:dyDescent="0.25">
      <c r="A3" s="26" t="s">
        <v>56</v>
      </c>
      <c r="B3" s="5"/>
      <c r="C3" s="5"/>
      <c r="D3" s="5"/>
      <c r="E3" s="35"/>
    </row>
    <row r="4" spans="1:5" x14ac:dyDescent="0.25">
      <c r="A4" s="20" t="s">
        <v>57</v>
      </c>
      <c r="B4" s="5"/>
      <c r="C4" s="5"/>
      <c r="D4" s="5"/>
      <c r="E4" s="35"/>
    </row>
    <row r="5" spans="1:5" x14ac:dyDescent="0.25">
      <c r="A5" s="24" t="s">
        <v>77</v>
      </c>
      <c r="B5" s="2"/>
      <c r="C5" s="2"/>
      <c r="D5" s="48">
        <f>IF(C5&gt;0,Input!$B$3/C5,0)</f>
        <v>0</v>
      </c>
      <c r="E5" s="45">
        <f>B5*D5*Input!$B$8</f>
        <v>0</v>
      </c>
    </row>
    <row r="6" spans="1:5" x14ac:dyDescent="0.25">
      <c r="A6" s="24" t="s">
        <v>58</v>
      </c>
      <c r="B6" s="2"/>
      <c r="C6" s="2"/>
      <c r="D6" s="48">
        <f>IF(C6&gt;0,Input!$B$3/C6,0)</f>
        <v>0</v>
      </c>
      <c r="E6" s="45">
        <f>B6*D6*Input!$B$8</f>
        <v>0</v>
      </c>
    </row>
    <row r="7" spans="1:5" x14ac:dyDescent="0.25">
      <c r="A7" s="24" t="s">
        <v>59</v>
      </c>
      <c r="B7" s="2"/>
      <c r="C7" s="2"/>
      <c r="D7" s="48">
        <f>IF(C7&gt;0,Input!$B$3/C7,0)</f>
        <v>0</v>
      </c>
      <c r="E7" s="45">
        <f>B7*D7*Input!$B$8</f>
        <v>0</v>
      </c>
    </row>
    <row r="8" spans="1:5" x14ac:dyDescent="0.25">
      <c r="A8" s="24" t="s">
        <v>60</v>
      </c>
      <c r="B8" s="2"/>
      <c r="C8" s="2"/>
      <c r="D8" s="48">
        <f>IF(C8&gt;0,Input!$B$3/C8,0)</f>
        <v>0</v>
      </c>
      <c r="E8" s="45">
        <f>B8*D8*Input!$B$8</f>
        <v>0</v>
      </c>
    </row>
    <row r="9" spans="1:5" x14ac:dyDescent="0.25">
      <c r="A9" s="24" t="s">
        <v>61</v>
      </c>
      <c r="B9" s="2"/>
      <c r="C9" s="2"/>
      <c r="D9" s="48">
        <f>IF(C9&gt;0,Input!$B$3/C9,0)</f>
        <v>0</v>
      </c>
      <c r="E9" s="45">
        <f>B9*D9*Input!$B$8</f>
        <v>0</v>
      </c>
    </row>
    <row r="10" spans="1:5" x14ac:dyDescent="0.25">
      <c r="A10" s="24" t="s">
        <v>62</v>
      </c>
      <c r="B10" s="2"/>
      <c r="C10" s="2"/>
      <c r="D10" s="48">
        <f>IF(C10&gt;0,Input!$B$3/C10,0)</f>
        <v>0</v>
      </c>
      <c r="E10" s="45">
        <f>B10*D10*Input!$B$8</f>
        <v>0</v>
      </c>
    </row>
    <row r="11" spans="1:5" x14ac:dyDescent="0.25">
      <c r="A11" s="24" t="s">
        <v>63</v>
      </c>
      <c r="B11" s="2"/>
      <c r="C11" s="2"/>
      <c r="D11" s="48">
        <f>IF(C11&gt;0,Input!$B$3/C11,0)</f>
        <v>0</v>
      </c>
      <c r="E11" s="45">
        <f>B11*D11*Input!$B$8</f>
        <v>0</v>
      </c>
    </row>
    <row r="12" spans="1:5" x14ac:dyDescent="0.25">
      <c r="A12" s="24" t="s">
        <v>64</v>
      </c>
      <c r="B12" s="2"/>
      <c r="C12" s="2"/>
      <c r="D12" s="48">
        <f>IF(C12&gt;0,Input!$B$3/C12,0)</f>
        <v>0</v>
      </c>
      <c r="E12" s="45">
        <f>B12*D12*Input!$B$8</f>
        <v>0</v>
      </c>
    </row>
    <row r="13" spans="1:5" x14ac:dyDescent="0.25">
      <c r="A13" s="24" t="s">
        <v>65</v>
      </c>
      <c r="B13" s="2"/>
      <c r="C13" s="2"/>
      <c r="D13" s="48">
        <f>IF(C13&gt;0,Input!$B$3/C13,0)</f>
        <v>0</v>
      </c>
      <c r="E13" s="45">
        <f>B13*D13*Input!$B$8</f>
        <v>0</v>
      </c>
    </row>
    <row r="14" spans="1:5" x14ac:dyDescent="0.25">
      <c r="A14" s="24"/>
      <c r="B14" s="4"/>
      <c r="C14" s="4"/>
      <c r="D14" s="48"/>
      <c r="E14" s="45"/>
    </row>
    <row r="15" spans="1:5" x14ac:dyDescent="0.25">
      <c r="A15" s="26" t="s">
        <v>66</v>
      </c>
      <c r="B15" s="4"/>
      <c r="C15" s="4"/>
      <c r="D15" s="48"/>
      <c r="E15" s="45"/>
    </row>
    <row r="16" spans="1:5" x14ac:dyDescent="0.25">
      <c r="A16" s="20" t="s">
        <v>67</v>
      </c>
      <c r="B16" s="4"/>
      <c r="C16" s="4"/>
      <c r="D16" s="48"/>
      <c r="E16" s="45"/>
    </row>
    <row r="17" spans="1:5" x14ac:dyDescent="0.25">
      <c r="A17" s="24" t="s">
        <v>68</v>
      </c>
      <c r="B17" s="2"/>
      <c r="C17" s="2"/>
      <c r="D17" s="48">
        <f>IF(C17&gt;0,Input!$B$3/C17,0)</f>
        <v>0</v>
      </c>
      <c r="E17" s="45">
        <f>B17*D17*Input!$B$8</f>
        <v>0</v>
      </c>
    </row>
    <row r="18" spans="1:5" x14ac:dyDescent="0.25">
      <c r="A18" s="24" t="s">
        <v>69</v>
      </c>
      <c r="B18" s="2"/>
      <c r="C18" s="2"/>
      <c r="D18" s="48">
        <f>IF(C18&gt;0,Input!$B$3/C18,0)</f>
        <v>0</v>
      </c>
      <c r="E18" s="45">
        <f>B18*D18*Input!$B$8</f>
        <v>0</v>
      </c>
    </row>
    <row r="19" spans="1:5" x14ac:dyDescent="0.25">
      <c r="A19" s="24" t="s">
        <v>70</v>
      </c>
      <c r="B19" s="2"/>
      <c r="C19" s="2"/>
      <c r="D19" s="48">
        <f>IF(C19&gt;0,Input!$B$3/C19,0)</f>
        <v>0</v>
      </c>
      <c r="E19" s="45">
        <f>B19*D19*Input!$B$8</f>
        <v>0</v>
      </c>
    </row>
    <row r="20" spans="1:5" x14ac:dyDescent="0.25">
      <c r="A20" s="20" t="s">
        <v>71</v>
      </c>
      <c r="B20" s="2"/>
      <c r="C20" s="2"/>
      <c r="D20" s="48">
        <f>IF(C20&gt;0,Input!$B$3/C20,0)</f>
        <v>0</v>
      </c>
      <c r="E20" s="45">
        <f>B20*D20*Input!$B$8</f>
        <v>0</v>
      </c>
    </row>
    <row r="21" spans="1:5" x14ac:dyDescent="0.25">
      <c r="A21" s="24" t="s">
        <v>72</v>
      </c>
      <c r="B21" s="2"/>
      <c r="C21" s="2"/>
      <c r="D21" s="48">
        <f>IF(C21&gt;0,Input!$B$3/C21,0)</f>
        <v>0</v>
      </c>
      <c r="E21" s="45">
        <f>B21*D21*Input!$B$8</f>
        <v>0</v>
      </c>
    </row>
    <row r="22" spans="1:5" x14ac:dyDescent="0.25">
      <c r="A22" s="24" t="s">
        <v>82</v>
      </c>
      <c r="B22" s="2"/>
      <c r="C22" s="2"/>
      <c r="D22" s="48">
        <f>IF(C22&gt;0,Input!$B$3/C22,0)</f>
        <v>0</v>
      </c>
      <c r="E22" s="45">
        <f>B22*D22*Input!$B$8</f>
        <v>0</v>
      </c>
    </row>
    <row r="23" spans="1:5" x14ac:dyDescent="0.25">
      <c r="A23" s="24" t="s">
        <v>73</v>
      </c>
      <c r="B23" s="2"/>
      <c r="C23" s="2"/>
      <c r="D23" s="48">
        <f>IF(C23&gt;0,Input!$B$3/C23,0)</f>
        <v>0</v>
      </c>
      <c r="E23" s="45">
        <f>B23*D23*Input!$B$8</f>
        <v>0</v>
      </c>
    </row>
    <row r="24" spans="1:5" x14ac:dyDescent="0.25">
      <c r="A24" s="24" t="s">
        <v>74</v>
      </c>
      <c r="B24" s="2"/>
      <c r="C24" s="2"/>
      <c r="D24" s="48">
        <f>IF(C24&gt;0,Input!$B$3/C24,0)</f>
        <v>0</v>
      </c>
      <c r="E24" s="45">
        <f>B24*D24*Input!$B$8</f>
        <v>0</v>
      </c>
    </row>
    <row r="25" spans="1:5" x14ac:dyDescent="0.25">
      <c r="A25" s="24" t="s">
        <v>75</v>
      </c>
      <c r="B25" s="2"/>
      <c r="C25" s="2"/>
      <c r="D25" s="48">
        <f>IF(C25&gt;0,Input!$B$3/C25,0)</f>
        <v>0</v>
      </c>
      <c r="E25" s="45">
        <f>B25*D25*Input!$B$8</f>
        <v>0</v>
      </c>
    </row>
    <row r="26" spans="1:5" x14ac:dyDescent="0.25">
      <c r="A26" s="6" t="s">
        <v>65</v>
      </c>
      <c r="B26" s="2"/>
      <c r="C26" s="2"/>
      <c r="D26" s="48">
        <f>IF(C26&gt;0,Input!$B$3/C26,0)</f>
        <v>0</v>
      </c>
      <c r="E26" s="45">
        <f>B26*D26*Input!$B$8</f>
        <v>0</v>
      </c>
    </row>
    <row r="27" spans="1:5" x14ac:dyDescent="0.25">
      <c r="A27" s="21" t="s">
        <v>5</v>
      </c>
      <c r="B27" s="47">
        <f>SUM(B3:B25)</f>
        <v>0</v>
      </c>
      <c r="C27" s="3"/>
      <c r="D27" s="47"/>
      <c r="E27" s="45">
        <f>SUM(E3:E25)</f>
        <v>0</v>
      </c>
    </row>
  </sheetData>
  <sheetProtection algorithmName="SHA-512" hashValue="SgGmSCbaVYu/ElxSu4i06yYDw/QIPdBmMLj4Rj+J5FiDfzGWJLQnZihhdhUOrcBWR6xPtank2X71X8RJAyW20Q==" saltValue="NFR5Qi/aUNYSFlGBuRp0Fw==" spinCount="100000" sheet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workbookViewId="0">
      <selection activeCell="E3" sqref="E3"/>
    </sheetView>
  </sheetViews>
  <sheetFormatPr baseColWidth="10" defaultColWidth="11.42578125" defaultRowHeight="15" x14ac:dyDescent="0.25"/>
  <cols>
    <col min="1" max="1" width="47.7109375" style="6" bestFit="1" customWidth="1"/>
    <col min="2" max="5" width="11.42578125" style="6"/>
    <col min="6" max="6" width="12.7109375" style="6" customWidth="1"/>
    <col min="7" max="7" width="11.42578125" style="6"/>
    <col min="8" max="9" width="11.42578125" style="36"/>
    <col min="10" max="16384" width="11.42578125" style="6"/>
  </cols>
  <sheetData>
    <row r="2" spans="1:9" ht="45" x14ac:dyDescent="0.25">
      <c r="A2" s="29" t="s">
        <v>12</v>
      </c>
      <c r="B2" s="30" t="s">
        <v>13</v>
      </c>
      <c r="C2" s="30" t="s">
        <v>87</v>
      </c>
      <c r="D2" s="30" t="s">
        <v>88</v>
      </c>
      <c r="E2" s="30" t="s">
        <v>6</v>
      </c>
      <c r="F2" s="30" t="s">
        <v>14</v>
      </c>
      <c r="G2" s="30" t="s">
        <v>15</v>
      </c>
      <c r="H2" s="31" t="s">
        <v>7</v>
      </c>
      <c r="I2" s="31" t="s">
        <v>85</v>
      </c>
    </row>
    <row r="3" spans="1:9" x14ac:dyDescent="0.25">
      <c r="A3" s="32" t="s">
        <v>78</v>
      </c>
      <c r="B3" s="46">
        <f>Input!$B$4</f>
        <v>483</v>
      </c>
      <c r="C3" s="46">
        <f>B3-D3</f>
        <v>377</v>
      </c>
      <c r="D3" s="46">
        <f>53*2</f>
        <v>106</v>
      </c>
      <c r="E3" s="33">
        <v>4</v>
      </c>
      <c r="F3" s="46">
        <f>IF(E3=6,Input!$B$14,Input!$B$13)</f>
        <v>325</v>
      </c>
      <c r="G3" s="34">
        <v>2</v>
      </c>
      <c r="H3" s="45">
        <f>B3*F3*G3*(1+Input!$B$12)</f>
        <v>358216.95</v>
      </c>
      <c r="I3" s="45">
        <f>H3*D3/C3</f>
        <v>100718.82413793105</v>
      </c>
    </row>
    <row r="4" spans="1:9" x14ac:dyDescent="0.25">
      <c r="A4" s="58" t="s">
        <v>79</v>
      </c>
      <c r="B4" s="46">
        <f>Input!$B$4</f>
        <v>483</v>
      </c>
      <c r="C4" s="46">
        <f>B4-D4</f>
        <v>423</v>
      </c>
      <c r="D4" s="46">
        <f>10*6</f>
        <v>60</v>
      </c>
      <c r="E4" s="33">
        <v>6</v>
      </c>
      <c r="F4" s="46">
        <f>IF(E4=6,Input!$B$14,Input!$B$13)</f>
        <v>461</v>
      </c>
      <c r="G4" s="34">
        <v>2</v>
      </c>
      <c r="H4" s="45">
        <f>B4*F4*G4*(1+Input!$B$12)</f>
        <v>508116.96600000001</v>
      </c>
      <c r="I4" s="45">
        <f>H4*D4/C4</f>
        <v>72073.328510638297</v>
      </c>
    </row>
    <row r="5" spans="1:9" x14ac:dyDescent="0.25">
      <c r="A5" s="58" t="s">
        <v>80</v>
      </c>
      <c r="B5" s="46">
        <f>Input!$B$4</f>
        <v>483</v>
      </c>
      <c r="C5" s="46">
        <f>B5-D5</f>
        <v>483</v>
      </c>
      <c r="D5" s="46">
        <v>0</v>
      </c>
      <c r="E5" s="33">
        <v>4</v>
      </c>
      <c r="F5" s="46">
        <f>IF(E5=6,Input!$B$14,Input!$B$13)</f>
        <v>325</v>
      </c>
      <c r="G5" s="34">
        <v>2</v>
      </c>
      <c r="H5" s="45">
        <f>B5*F5*G5*(1+Input!$B$12)</f>
        <v>358216.95</v>
      </c>
      <c r="I5" s="45">
        <f>H5*D5/C5</f>
        <v>0</v>
      </c>
    </row>
    <row r="6" spans="1:9" s="23" customFormat="1" x14ac:dyDescent="0.25">
      <c r="A6" s="20" t="s">
        <v>17</v>
      </c>
      <c r="B6" s="20"/>
      <c r="C6" s="20"/>
      <c r="D6" s="20"/>
      <c r="E6" s="20"/>
      <c r="F6" s="20"/>
      <c r="G6" s="20"/>
      <c r="H6" s="51">
        <f>SUM(H3:H5)</f>
        <v>1224550.8659999999</v>
      </c>
      <c r="I6" s="51">
        <f>SUM(I3:I5)</f>
        <v>172792.15264856935</v>
      </c>
    </row>
  </sheetData>
  <sheetProtection algorithmName="SHA-512" hashValue="lOLM960mVp4gZMjKqZ8NwivFUV4hRbMzC+/+nSsh1foyDVCNRX7o/h7xAiKToLuhBcWA+5wNMtbkc4f2eyK4mA==" saltValue="APiUdTGy3AOC2y/KlFn5Cw==" spinCount="100000" sheet="1" select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Input!$C$13:$C$14</xm:f>
          </x14:formula1>
          <xm:sqref>E3:E5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workbookViewId="0">
      <selection activeCell="G18" sqref="G18"/>
    </sheetView>
  </sheetViews>
  <sheetFormatPr baseColWidth="10" defaultColWidth="11.42578125" defaultRowHeight="15" x14ac:dyDescent="0.25"/>
  <cols>
    <col min="1" max="1" width="37.42578125" style="6" bestFit="1" customWidth="1"/>
    <col min="2" max="2" width="11.42578125" style="6"/>
    <col min="3" max="3" width="15.42578125" style="6" bestFit="1" customWidth="1"/>
    <col min="4" max="4" width="15.42578125" style="6" customWidth="1"/>
    <col min="5" max="5" width="12.85546875" style="10" customWidth="1"/>
    <col min="6" max="6" width="11.42578125" style="6"/>
    <col min="7" max="7" width="15.42578125" style="6" bestFit="1" customWidth="1"/>
    <col min="8" max="8" width="15.42578125" style="6" customWidth="1"/>
    <col min="9" max="9" width="13.7109375" style="10" customWidth="1"/>
    <col min="10" max="10" width="11.42578125" style="28"/>
    <col min="11" max="16384" width="11.42578125" style="6"/>
  </cols>
  <sheetData>
    <row r="2" spans="1:10" s="23" customFormat="1" ht="30" x14ac:dyDescent="0.25">
      <c r="A2" s="18" t="s">
        <v>2</v>
      </c>
      <c r="B2" s="19" t="s">
        <v>18</v>
      </c>
      <c r="C2" s="20" t="s">
        <v>20</v>
      </c>
      <c r="D2" s="20" t="s">
        <v>54</v>
      </c>
      <c r="E2" s="52" t="s">
        <v>34</v>
      </c>
      <c r="F2" s="19" t="s">
        <v>19</v>
      </c>
      <c r="G2" s="20" t="s">
        <v>20</v>
      </c>
      <c r="H2" s="20" t="s">
        <v>54</v>
      </c>
      <c r="I2" s="52" t="s">
        <v>29</v>
      </c>
      <c r="J2" s="22" t="s">
        <v>7</v>
      </c>
    </row>
    <row r="3" spans="1:10" x14ac:dyDescent="0.25">
      <c r="A3" s="26" t="s">
        <v>56</v>
      </c>
      <c r="B3" s="5"/>
      <c r="C3" s="5"/>
      <c r="D3" s="5"/>
      <c r="E3" s="5"/>
      <c r="F3" s="5"/>
      <c r="G3" s="24"/>
      <c r="H3" s="24"/>
      <c r="I3" s="25"/>
      <c r="J3" s="22"/>
    </row>
    <row r="4" spans="1:10" x14ac:dyDescent="0.25">
      <c r="A4" s="20" t="s">
        <v>57</v>
      </c>
      <c r="B4" s="5"/>
      <c r="C4" s="5"/>
      <c r="D4" s="5"/>
      <c r="E4" s="5"/>
      <c r="F4" s="5"/>
      <c r="G4" s="24"/>
      <c r="H4" s="24"/>
      <c r="I4" s="25"/>
      <c r="J4" s="22"/>
    </row>
    <row r="5" spans="1:10" x14ac:dyDescent="0.25">
      <c r="A5" s="24" t="s">
        <v>77</v>
      </c>
      <c r="B5" s="1"/>
      <c r="C5" s="1">
        <f>Input!$B$3*0.5</f>
        <v>125</v>
      </c>
      <c r="D5" s="1" t="s">
        <v>52</v>
      </c>
      <c r="E5" s="50">
        <f>IF(D5=Input!$C$9,B5*C5*Input!$B$9,B5*C5*Input!$B$10)</f>
        <v>0</v>
      </c>
      <c r="F5" s="1"/>
      <c r="G5" s="1">
        <f>Input!$B$3*0.5</f>
        <v>125</v>
      </c>
      <c r="H5" s="1" t="s">
        <v>52</v>
      </c>
      <c r="I5" s="50">
        <f>IF(H5=Input!$C$9,F5*G5*Input!$B$9,F5*G5*Input!$B$10)</f>
        <v>0</v>
      </c>
      <c r="J5" s="51">
        <f>B5*C5*Input!$B$9+Oppgaver!F5*Oppgaver!G5*Input!$B$9</f>
        <v>0</v>
      </c>
    </row>
    <row r="6" spans="1:10" x14ac:dyDescent="0.25">
      <c r="A6" s="24" t="s">
        <v>58</v>
      </c>
      <c r="B6" s="1">
        <v>1</v>
      </c>
      <c r="C6" s="1">
        <f>Input!$B$3*0.5</f>
        <v>125</v>
      </c>
      <c r="D6" s="1" t="s">
        <v>52</v>
      </c>
      <c r="E6" s="50">
        <f>IF(D6=Input!$C$9,B6*C6*Input!$B$9,B6*C6*Input!$B$10)</f>
        <v>42500</v>
      </c>
      <c r="F6" s="1"/>
      <c r="G6" s="1">
        <f>Input!$B$3*0.5</f>
        <v>125</v>
      </c>
      <c r="H6" s="1" t="s">
        <v>52</v>
      </c>
      <c r="I6" s="50">
        <f>IF(H6=Input!$C$9,F6*G6*Input!$B$9,F6*G6*Input!$B$10)</f>
        <v>0</v>
      </c>
      <c r="J6" s="51">
        <f>B6*C6*Input!$B$9+Oppgaver!F6*Oppgaver!G6*Input!$B$9</f>
        <v>42500</v>
      </c>
    </row>
    <row r="7" spans="1:10" x14ac:dyDescent="0.25">
      <c r="A7" s="24" t="s">
        <v>59</v>
      </c>
      <c r="B7" s="1">
        <v>1</v>
      </c>
      <c r="C7" s="1">
        <f>Input!$B$3*0.5</f>
        <v>125</v>
      </c>
      <c r="D7" s="1" t="s">
        <v>52</v>
      </c>
      <c r="E7" s="50">
        <f>IF(D7=Input!$C$9,B7*C7*Input!$B$9,B7*C7*Input!$B$10)</f>
        <v>42500</v>
      </c>
      <c r="F7" s="1"/>
      <c r="G7" s="1">
        <f>Input!$B$3*0.5</f>
        <v>125</v>
      </c>
      <c r="H7" s="1" t="s">
        <v>52</v>
      </c>
      <c r="I7" s="50">
        <f>IF(H7=Input!$C$9,F7*G7*Input!$B$9,F7*G7*Input!$B$10)</f>
        <v>0</v>
      </c>
      <c r="J7" s="51">
        <f>B7*C7*Input!$B$9+Oppgaver!F7*Oppgaver!G7*Input!$B$9</f>
        <v>42500</v>
      </c>
    </row>
    <row r="8" spans="1:10" x14ac:dyDescent="0.25">
      <c r="A8" s="24" t="s">
        <v>60</v>
      </c>
      <c r="B8" s="1">
        <v>1</v>
      </c>
      <c r="C8" s="1">
        <f>Input!$B$3*0.5</f>
        <v>125</v>
      </c>
      <c r="D8" s="1" t="s">
        <v>52</v>
      </c>
      <c r="E8" s="50">
        <f>IF(D8=Input!$C$9,B8*C8*Input!$B$9,B8*C8*Input!$B$10)</f>
        <v>42500</v>
      </c>
      <c r="F8" s="1"/>
      <c r="G8" s="1">
        <f>Input!$B$3*0.5</f>
        <v>125</v>
      </c>
      <c r="H8" s="1" t="s">
        <v>52</v>
      </c>
      <c r="I8" s="50">
        <f>IF(H8=Input!$C$9,F8*G8*Input!$B$9,F8*G8*Input!$B$10)</f>
        <v>0</v>
      </c>
      <c r="J8" s="51">
        <f>B8*C8*Input!$B$9+Oppgaver!F8*Oppgaver!G8*Input!$B$9</f>
        <v>42500</v>
      </c>
    </row>
    <row r="9" spans="1:10" x14ac:dyDescent="0.25">
      <c r="A9" s="24" t="s">
        <v>61</v>
      </c>
      <c r="B9" s="1"/>
      <c r="C9" s="1">
        <f>Input!$B$3*0.5</f>
        <v>125</v>
      </c>
      <c r="D9" s="1" t="s">
        <v>52</v>
      </c>
      <c r="E9" s="50">
        <f>IF(D9=Input!$C$9,B9*C9*Input!$B$9,B9*C9*Input!$B$10)</f>
        <v>0</v>
      </c>
      <c r="F9" s="1"/>
      <c r="G9" s="1">
        <f>Input!$B$3*0.5</f>
        <v>125</v>
      </c>
      <c r="H9" s="1" t="s">
        <v>52</v>
      </c>
      <c r="I9" s="50">
        <f>IF(H9=Input!$C$9,F9*G9*Input!$B$9,F9*G9*Input!$B$10)</f>
        <v>0</v>
      </c>
      <c r="J9" s="51">
        <f>B9*C9*Input!$B$9+Oppgaver!F9*Oppgaver!G9*Input!$B$9</f>
        <v>0</v>
      </c>
    </row>
    <row r="10" spans="1:10" x14ac:dyDescent="0.25">
      <c r="A10" s="24" t="s">
        <v>62</v>
      </c>
      <c r="B10" s="1"/>
      <c r="C10" s="1">
        <f>Input!$B$3*0.5</f>
        <v>125</v>
      </c>
      <c r="D10" s="1" t="s">
        <v>52</v>
      </c>
      <c r="E10" s="50">
        <f>IF(D10=Input!$C$9,B10*C10*Input!$B$9,B10*C10*Input!$B$10)</f>
        <v>0</v>
      </c>
      <c r="F10" s="1"/>
      <c r="G10" s="1">
        <f>Input!$B$3*0.5</f>
        <v>125</v>
      </c>
      <c r="H10" s="1" t="s">
        <v>52</v>
      </c>
      <c r="I10" s="50">
        <f>IF(H10=Input!$C$9,F10*G10*Input!$B$9,F10*G10*Input!$B$10)</f>
        <v>0</v>
      </c>
      <c r="J10" s="51">
        <f>B10*C10*Input!$B$9+Oppgaver!F10*Oppgaver!G10*Input!$B$9</f>
        <v>0</v>
      </c>
    </row>
    <row r="11" spans="1:10" x14ac:dyDescent="0.25">
      <c r="A11" s="24" t="s">
        <v>63</v>
      </c>
      <c r="B11" s="1"/>
      <c r="C11" s="1">
        <f>Input!$B$3*0.5</f>
        <v>125</v>
      </c>
      <c r="D11" s="1" t="s">
        <v>52</v>
      </c>
      <c r="E11" s="50">
        <f>IF(D11=Input!$C$9,B11*C11*Input!$B$9,B11*C11*Input!$B$10)</f>
        <v>0</v>
      </c>
      <c r="F11" s="1"/>
      <c r="G11" s="1">
        <f>Input!$B$3*0.5</f>
        <v>125</v>
      </c>
      <c r="H11" s="1" t="s">
        <v>52</v>
      </c>
      <c r="I11" s="50">
        <f>IF(H11=Input!$C$9,F11*G11*Input!$B$9,F11*G11*Input!$B$10)</f>
        <v>0</v>
      </c>
      <c r="J11" s="51">
        <f>B11*C11*Input!$B$9+Oppgaver!F11*Oppgaver!G11*Input!$B$9</f>
        <v>0</v>
      </c>
    </row>
    <row r="12" spans="1:10" x14ac:dyDescent="0.25">
      <c r="A12" s="24" t="s">
        <v>64</v>
      </c>
      <c r="B12" s="1"/>
      <c r="C12" s="1">
        <f>Input!$B$3*0.5</f>
        <v>125</v>
      </c>
      <c r="D12" s="1" t="s">
        <v>52</v>
      </c>
      <c r="E12" s="50">
        <f>IF(D12=Input!$C$9,B12*C12*Input!$B$9,B12*C12*Input!$B$10)</f>
        <v>0</v>
      </c>
      <c r="F12" s="1"/>
      <c r="G12" s="1">
        <f>Input!$B$3*0.5</f>
        <v>125</v>
      </c>
      <c r="H12" s="1" t="s">
        <v>52</v>
      </c>
      <c r="I12" s="50">
        <f>IF(H12=Input!$C$9,F12*G12*Input!$B$9,F12*G12*Input!$B$10)</f>
        <v>0</v>
      </c>
      <c r="J12" s="51">
        <f>B12*C12*Input!$B$9+Oppgaver!F12*Oppgaver!G12*Input!$B$9</f>
        <v>0</v>
      </c>
    </row>
    <row r="13" spans="1:10" x14ac:dyDescent="0.25">
      <c r="A13" s="24" t="s">
        <v>65</v>
      </c>
      <c r="B13" s="1"/>
      <c r="C13" s="1">
        <f>Input!$B$3*0.5</f>
        <v>125</v>
      </c>
      <c r="D13" s="1" t="s">
        <v>52</v>
      </c>
      <c r="E13" s="50">
        <f>IF(D13=Input!$C$9,B13*C13*Input!$B$9,B13*C13*Input!$B$10)</f>
        <v>0</v>
      </c>
      <c r="F13" s="1"/>
      <c r="G13" s="1">
        <f>Input!$B$3*0.5</f>
        <v>125</v>
      </c>
      <c r="H13" s="1" t="s">
        <v>52</v>
      </c>
      <c r="I13" s="50">
        <f>IF(H13=Input!$C$9,F13*G13*Input!$B$9,F13*G13*Input!$B$10)</f>
        <v>0</v>
      </c>
      <c r="J13" s="51">
        <f>B13*C13*Input!$B$9+Oppgaver!F13*Oppgaver!G13*Input!$B$9</f>
        <v>0</v>
      </c>
    </row>
    <row r="14" spans="1:10" x14ac:dyDescent="0.25">
      <c r="A14" s="24"/>
      <c r="B14" s="5"/>
      <c r="C14" s="5"/>
      <c r="D14" s="5"/>
      <c r="E14" s="50"/>
      <c r="F14" s="5"/>
      <c r="G14" s="5"/>
      <c r="H14" s="5"/>
      <c r="I14" s="50"/>
      <c r="J14" s="51"/>
    </row>
    <row r="15" spans="1:10" x14ac:dyDescent="0.25">
      <c r="A15" s="26" t="s">
        <v>66</v>
      </c>
      <c r="B15" s="5"/>
      <c r="C15" s="5"/>
      <c r="D15" s="5"/>
      <c r="E15" s="50"/>
      <c r="F15" s="5"/>
      <c r="G15" s="5"/>
      <c r="H15" s="5"/>
      <c r="I15" s="50"/>
      <c r="J15" s="51"/>
    </row>
    <row r="16" spans="1:10" x14ac:dyDescent="0.25">
      <c r="A16" s="20" t="s">
        <v>67</v>
      </c>
      <c r="B16" s="5"/>
      <c r="C16" s="5"/>
      <c r="D16" s="5"/>
      <c r="E16" s="50"/>
      <c r="F16" s="5"/>
      <c r="G16" s="5"/>
      <c r="H16" s="5"/>
      <c r="I16" s="50"/>
      <c r="J16" s="51"/>
    </row>
    <row r="17" spans="1:10" x14ac:dyDescent="0.25">
      <c r="A17" s="24" t="s">
        <v>68</v>
      </c>
      <c r="B17" s="1"/>
      <c r="C17" s="1">
        <f>Input!$B$3*0.5</f>
        <v>125</v>
      </c>
      <c r="D17" s="1" t="s">
        <v>52</v>
      </c>
      <c r="E17" s="50">
        <f>IF(D17=Input!$C$9,B17*C17*Input!$B$9,B17*C17*Input!$B$10)</f>
        <v>0</v>
      </c>
      <c r="F17" s="1"/>
      <c r="G17" s="1">
        <f>Input!$B$3*0.5</f>
        <v>125</v>
      </c>
      <c r="H17" s="1" t="s">
        <v>52</v>
      </c>
      <c r="I17" s="50">
        <f>IF(H17=Input!$C$9,F17*G17*Input!$B$9,F17*G17*Input!$B$10)</f>
        <v>0</v>
      </c>
      <c r="J17" s="51">
        <f>B17*C17*Input!$B$9+Oppgaver!F17*Oppgaver!G17*Input!$B$9</f>
        <v>0</v>
      </c>
    </row>
    <row r="18" spans="1:10" x14ac:dyDescent="0.25">
      <c r="A18" s="24" t="s">
        <v>69</v>
      </c>
      <c r="B18" s="1">
        <v>1</v>
      </c>
      <c r="C18" s="1">
        <f>Input!$B$3*0.5</f>
        <v>125</v>
      </c>
      <c r="D18" s="1" t="s">
        <v>52</v>
      </c>
      <c r="E18" s="50">
        <f>IF(D18=Input!$C$9,B18*C18*Input!$B$9,B18*C18*Input!$B$10)</f>
        <v>42500</v>
      </c>
      <c r="F18" s="1"/>
      <c r="G18" s="1">
        <f>Input!$B$3*0.5</f>
        <v>125</v>
      </c>
      <c r="H18" s="1" t="s">
        <v>52</v>
      </c>
      <c r="I18" s="50">
        <f>IF(H18=Input!$C$9,F18*G18*Input!$B$9,F18*G18*Input!$B$10)</f>
        <v>0</v>
      </c>
      <c r="J18" s="51">
        <f>B18*C18*Input!$B$9+Oppgaver!F18*Oppgaver!G18*Input!$B$9</f>
        <v>42500</v>
      </c>
    </row>
    <row r="19" spans="1:10" x14ac:dyDescent="0.25">
      <c r="A19" s="67" t="s">
        <v>70</v>
      </c>
      <c r="B19" s="1">
        <v>1</v>
      </c>
      <c r="C19" s="1">
        <f>Input!$B$3*0.5</f>
        <v>125</v>
      </c>
      <c r="D19" s="1" t="s">
        <v>52</v>
      </c>
      <c r="E19" s="50">
        <f>IF(D19=Input!$C$9,B19*C19*Input!$B$9,B19*C19*Input!$B$10)</f>
        <v>42500</v>
      </c>
      <c r="F19" s="1"/>
      <c r="G19" s="1">
        <f>Input!$B$3*0.5</f>
        <v>125</v>
      </c>
      <c r="H19" s="1" t="s">
        <v>52</v>
      </c>
      <c r="I19" s="50">
        <f>IF(H19=Input!$C$9,F19*G19*Input!$B$9,F19*G19*Input!$B$10)</f>
        <v>0</v>
      </c>
      <c r="J19" s="51">
        <f>B19*C19*Input!$B$9+Oppgaver!F19*Oppgaver!G19*Input!$B$9</f>
        <v>42500</v>
      </c>
    </row>
    <row r="20" spans="1:10" x14ac:dyDescent="0.25">
      <c r="A20" s="26" t="s">
        <v>71</v>
      </c>
      <c r="B20" s="5"/>
      <c r="C20" s="5"/>
      <c r="D20" s="5"/>
      <c r="E20" s="50"/>
      <c r="F20" s="5"/>
      <c r="G20" s="5"/>
      <c r="H20" s="5"/>
      <c r="I20" s="50"/>
      <c r="J20" s="51"/>
    </row>
    <row r="21" spans="1:10" x14ac:dyDescent="0.25">
      <c r="A21" s="67" t="s">
        <v>72</v>
      </c>
      <c r="B21" s="1"/>
      <c r="C21" s="1">
        <f>Input!$B$3*0.5</f>
        <v>125</v>
      </c>
      <c r="D21" s="1" t="s">
        <v>52</v>
      </c>
      <c r="E21" s="50">
        <f>IF(D21=Input!$C$9,B21*C21*Input!$B$9,B21*C21*Input!$B$10)</f>
        <v>0</v>
      </c>
      <c r="F21" s="1"/>
      <c r="G21" s="1">
        <f>Input!$B$3*0.5</f>
        <v>125</v>
      </c>
      <c r="H21" s="1" t="s">
        <v>52</v>
      </c>
      <c r="I21" s="50">
        <f>IF(H21=Input!$C$9,F21*G21*Input!$B$9,F21*G21*Input!$B$10)</f>
        <v>0</v>
      </c>
      <c r="J21" s="51">
        <f>B21*C21*Input!$B$9+Oppgaver!F21*Oppgaver!G21*Input!$B$9</f>
        <v>0</v>
      </c>
    </row>
    <row r="22" spans="1:10" x14ac:dyDescent="0.25">
      <c r="A22" s="24" t="s">
        <v>82</v>
      </c>
      <c r="B22" s="68">
        <v>0.5</v>
      </c>
      <c r="C22" s="1">
        <f>Input!$B$3*0.5</f>
        <v>125</v>
      </c>
      <c r="D22" s="1" t="s">
        <v>52</v>
      </c>
      <c r="E22" s="50">
        <f>IF(D22=Input!$C$9,B22*C22*Input!$B$9,B22*C22*Input!$B$10)</f>
        <v>21250</v>
      </c>
      <c r="F22" s="1"/>
      <c r="G22" s="1">
        <f>Input!$B$3*0.5</f>
        <v>125</v>
      </c>
      <c r="H22" s="1" t="s">
        <v>52</v>
      </c>
      <c r="I22" s="50">
        <f>IF(H22=Input!$C$9,F22*G22*Input!$B$9,F22*G22*Input!$B$10)</f>
        <v>0</v>
      </c>
      <c r="J22" s="51">
        <f>B22*C22*Input!$B$9+Oppgaver!F22*Oppgaver!G22*Input!$B$9</f>
        <v>21250</v>
      </c>
    </row>
    <row r="23" spans="1:10" x14ac:dyDescent="0.25">
      <c r="A23" s="24" t="s">
        <v>73</v>
      </c>
      <c r="B23" s="1"/>
      <c r="C23" s="1">
        <f>Input!$B$3*0.5</f>
        <v>125</v>
      </c>
      <c r="D23" s="1" t="s">
        <v>52</v>
      </c>
      <c r="E23" s="50">
        <f>IF(D23=Input!$C$9,B23*C23*Input!$B$9,B23*C23*Input!$B$10)</f>
        <v>0</v>
      </c>
      <c r="F23" s="1"/>
      <c r="G23" s="1">
        <f>Input!$B$3*0.5</f>
        <v>125</v>
      </c>
      <c r="H23" s="1" t="s">
        <v>52</v>
      </c>
      <c r="I23" s="50">
        <f>IF(H23=Input!$C$9,F23*G23*Input!$B$9,F23*G23*Input!$B$10)</f>
        <v>0</v>
      </c>
      <c r="J23" s="51">
        <f>B23*C23*Input!$B$9+Oppgaver!F23*Oppgaver!G23*Input!$B$9</f>
        <v>0</v>
      </c>
    </row>
    <row r="24" spans="1:10" x14ac:dyDescent="0.25">
      <c r="A24" s="24" t="s">
        <v>74</v>
      </c>
      <c r="B24" s="1"/>
      <c r="C24" s="1">
        <f>Input!$B$3*0.5</f>
        <v>125</v>
      </c>
      <c r="D24" s="1" t="s">
        <v>52</v>
      </c>
      <c r="E24" s="50">
        <f>IF(D24=Input!$C$9,B24*C24*Input!$B$9,B24*C24*Input!$B$10)</f>
        <v>0</v>
      </c>
      <c r="F24" s="1"/>
      <c r="G24" s="1">
        <f>Input!$B$3*0.5</f>
        <v>125</v>
      </c>
      <c r="H24" s="1" t="s">
        <v>52</v>
      </c>
      <c r="I24" s="50">
        <f>IF(H24=Input!$C$9,F24*G24*Input!$B$9,F24*G24*Input!$B$10)</f>
        <v>0</v>
      </c>
      <c r="J24" s="51">
        <f>B24*C24*Input!$B$9+Oppgaver!F24*Oppgaver!G24*Input!$B$9</f>
        <v>0</v>
      </c>
    </row>
    <row r="25" spans="1:10" x14ac:dyDescent="0.25">
      <c r="A25" s="24" t="s">
        <v>75</v>
      </c>
      <c r="B25" s="1"/>
      <c r="C25" s="1">
        <f>Input!$B$3*0.5</f>
        <v>125</v>
      </c>
      <c r="D25" s="1" t="s">
        <v>52</v>
      </c>
      <c r="E25" s="50">
        <f>IF(D25=Input!$C$9,B25*C25*Input!$B$9,B25*C25*Input!$B$10)</f>
        <v>0</v>
      </c>
      <c r="F25" s="1"/>
      <c r="G25" s="1">
        <f>Input!$B$3*0.5</f>
        <v>125</v>
      </c>
      <c r="H25" s="1" t="s">
        <v>52</v>
      </c>
      <c r="I25" s="50">
        <f>IF(H25=Input!$C$9,F25*G25*Input!$B$9,F25*G25*Input!$B$10)</f>
        <v>0</v>
      </c>
      <c r="J25" s="51">
        <f>B25*C25*Input!$B$9+Oppgaver!F25*Oppgaver!G25*Input!$B$9</f>
        <v>0</v>
      </c>
    </row>
    <row r="26" spans="1:10" x14ac:dyDescent="0.25">
      <c r="A26" s="24" t="s">
        <v>65</v>
      </c>
      <c r="B26" s="1"/>
      <c r="C26" s="1">
        <f>Input!$B$3*0.5</f>
        <v>125</v>
      </c>
      <c r="D26" s="1" t="s">
        <v>52</v>
      </c>
      <c r="E26" s="50">
        <f>IF(D26=Input!$C$9,B26*C26*Input!$B$9,B26*C26*Input!$B$10)</f>
        <v>0</v>
      </c>
      <c r="F26" s="1"/>
      <c r="G26" s="1">
        <f>Input!$B$3*0.5</f>
        <v>125</v>
      </c>
      <c r="H26" s="1" t="s">
        <v>52</v>
      </c>
      <c r="I26" s="50">
        <f>IF(H26=Input!$C$9,F26*G26*Input!$B$9,F26*G26*Input!$B$10)</f>
        <v>0</v>
      </c>
      <c r="J26" s="51">
        <f>B26*C26*Input!$B$9+Oppgaver!F26*Oppgaver!G26*Input!$B$9</f>
        <v>0</v>
      </c>
    </row>
    <row r="27" spans="1:10" x14ac:dyDescent="0.25">
      <c r="A27" s="21" t="s">
        <v>5</v>
      </c>
      <c r="B27" s="27">
        <f>SUM(B5:B26)</f>
        <v>5.5</v>
      </c>
      <c r="C27" s="27"/>
      <c r="D27" s="27"/>
      <c r="E27" s="51">
        <f>SUM(E5:E26)</f>
        <v>233750</v>
      </c>
      <c r="F27" s="27">
        <f>SUM(F5:F26)</f>
        <v>0</v>
      </c>
      <c r="G27" s="24"/>
      <c r="H27" s="24"/>
      <c r="I27" s="51">
        <f>SUM(I5:I26)</f>
        <v>0</v>
      </c>
      <c r="J27" s="51">
        <f>SUM(J5:J26)</f>
        <v>233750</v>
      </c>
    </row>
  </sheetData>
  <sheetProtection algorithmName="SHA-512" hashValue="yQX1oC3ykgBbBl5DoJMdViKQ7jt/u957OX5Qqycgnnk5yywOfSamNUiDZj5sq8yxtl83gylm1elMh5UDRaSjXA==" saltValue="Oc4C/0C+a9exQHMXBbrw1g==" spinCount="100000" sheet="1"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Input!$C$9:$C$10</xm:f>
          </x14:formula1>
          <xm:sqref>H5:H13 D17:D19 D5:D13 H17:H19 D21:D26 H21:H26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opLeftCell="A13" workbookViewId="0">
      <selection activeCell="H14" sqref="H14:O19"/>
    </sheetView>
  </sheetViews>
  <sheetFormatPr baseColWidth="10" defaultColWidth="11.42578125" defaultRowHeight="18.75" x14ac:dyDescent="0.3"/>
  <cols>
    <col min="1" max="1" width="22.5703125" style="16" bestFit="1" customWidth="1"/>
    <col min="2" max="2" width="13.5703125" style="17" bestFit="1" customWidth="1"/>
    <col min="3" max="3" width="11.42578125" style="16"/>
    <col min="4" max="6" width="16.85546875" style="16" bestFit="1" customWidth="1"/>
    <col min="7" max="16384" width="11.42578125" style="16"/>
  </cols>
  <sheetData>
    <row r="1" spans="1:15" x14ac:dyDescent="0.3">
      <c r="D1" s="72" t="s">
        <v>36</v>
      </c>
      <c r="E1" s="72"/>
      <c r="F1" s="72"/>
    </row>
    <row r="2" spans="1:15" x14ac:dyDescent="0.3">
      <c r="A2" s="41" t="s">
        <v>21</v>
      </c>
      <c r="B2" s="53" t="s">
        <v>30</v>
      </c>
      <c r="D2" s="41" t="s">
        <v>37</v>
      </c>
      <c r="E2" s="41" t="s">
        <v>38</v>
      </c>
      <c r="F2" s="41" t="s">
        <v>39</v>
      </c>
    </row>
    <row r="3" spans="1:15" x14ac:dyDescent="0.3">
      <c r="A3" s="41" t="s">
        <v>22</v>
      </c>
      <c r="B3" s="53">
        <f>Forelesning!C28</f>
        <v>293150</v>
      </c>
      <c r="D3" s="53">
        <v>334150</v>
      </c>
      <c r="E3" s="53">
        <v>334150</v>
      </c>
      <c r="F3" s="53">
        <v>330050</v>
      </c>
    </row>
    <row r="4" spans="1:15" x14ac:dyDescent="0.3">
      <c r="A4" s="41" t="s">
        <v>23</v>
      </c>
      <c r="B4" s="53">
        <f>Kurs!E27</f>
        <v>1585333.3333333333</v>
      </c>
      <c r="D4" s="53">
        <v>1840770</v>
      </c>
      <c r="E4" s="53">
        <v>1840770</v>
      </c>
      <c r="F4" s="53">
        <v>1783825</v>
      </c>
    </row>
    <row r="5" spans="1:15" x14ac:dyDescent="0.3">
      <c r="A5" s="41" t="s">
        <v>24</v>
      </c>
      <c r="B5" s="53">
        <f>Smågrupper!E27</f>
        <v>0</v>
      </c>
      <c r="D5" s="53"/>
      <c r="E5" s="53"/>
      <c r="F5" s="53"/>
    </row>
    <row r="6" spans="1:15" x14ac:dyDescent="0.3">
      <c r="A6" s="41" t="s">
        <v>25</v>
      </c>
      <c r="B6" s="53">
        <f>Eksamen!H6</f>
        <v>1224550.8659999999</v>
      </c>
      <c r="D6" s="53">
        <v>1191592</v>
      </c>
      <c r="E6" s="53">
        <v>1337457</v>
      </c>
      <c r="F6" s="53">
        <v>1118342</v>
      </c>
      <c r="H6" s="73" t="s">
        <v>41</v>
      </c>
      <c r="I6" s="73"/>
      <c r="J6" s="73"/>
      <c r="K6" s="73"/>
      <c r="L6" s="74"/>
      <c r="M6" s="70"/>
    </row>
    <row r="7" spans="1:15" x14ac:dyDescent="0.3">
      <c r="A7" s="41" t="s">
        <v>26</v>
      </c>
      <c r="B7" s="53">
        <f>Oppgaver!J27</f>
        <v>233750</v>
      </c>
      <c r="D7" s="53">
        <v>425000</v>
      </c>
      <c r="E7" s="53">
        <v>425000</v>
      </c>
      <c r="F7" s="53">
        <v>425000</v>
      </c>
      <c r="H7" s="41">
        <v>2020</v>
      </c>
      <c r="I7" s="41">
        <v>2021</v>
      </c>
      <c r="J7" s="41">
        <v>2022</v>
      </c>
      <c r="K7" s="41">
        <v>2023</v>
      </c>
      <c r="L7" s="66"/>
      <c r="M7" s="66"/>
    </row>
    <row r="8" spans="1:15" x14ac:dyDescent="0.3">
      <c r="A8" s="54"/>
      <c r="B8" s="55">
        <f>SUM(B3:B7)</f>
        <v>3336784.1993333334</v>
      </c>
      <c r="D8" s="55">
        <f>SUM(D3:D7)</f>
        <v>3791512</v>
      </c>
      <c r="E8" s="55">
        <f>SUM(E3:E7)</f>
        <v>3937377</v>
      </c>
      <c r="F8" s="55">
        <f>SUM(F3:F7)</f>
        <v>3657217</v>
      </c>
      <c r="H8" s="60"/>
      <c r="I8" s="60"/>
      <c r="J8" s="60"/>
      <c r="K8" s="60"/>
    </row>
    <row r="10" spans="1:15" x14ac:dyDescent="0.3">
      <c r="A10" s="41" t="s">
        <v>40</v>
      </c>
      <c r="B10" s="53">
        <f>B8/Input!B3</f>
        <v>13347.136797333334</v>
      </c>
      <c r="C10" s="41"/>
      <c r="D10" s="59">
        <f>D8/215</f>
        <v>17634.939534883721</v>
      </c>
      <c r="E10" s="59">
        <f>E8/250</f>
        <v>15749.508</v>
      </c>
      <c r="F10" s="59">
        <f>F8/250</f>
        <v>14628.868</v>
      </c>
    </row>
    <row r="11" spans="1:15" ht="37.5" x14ac:dyDescent="0.3">
      <c r="A11" s="62" t="s">
        <v>83</v>
      </c>
      <c r="B11" s="53">
        <f>(B8-B6)/Input!B3</f>
        <v>8448.9333333333343</v>
      </c>
      <c r="C11" s="69"/>
      <c r="D11" s="59">
        <f>(D8-D6)/250</f>
        <v>10399.68</v>
      </c>
      <c r="E11" s="59">
        <f>(E8-E6)/250</f>
        <v>10399.68</v>
      </c>
      <c r="F11" s="59">
        <f>(F8-F6)/250</f>
        <v>10155.5</v>
      </c>
    </row>
    <row r="12" spans="1:15" ht="37.5" x14ac:dyDescent="0.3">
      <c r="A12" s="62" t="s">
        <v>84</v>
      </c>
      <c r="B12" s="53">
        <f>B6/Input!B3</f>
        <v>4898.2034639999993</v>
      </c>
      <c r="C12" s="69"/>
      <c r="D12" s="59">
        <f>D6/250</f>
        <v>4766.3680000000004</v>
      </c>
      <c r="E12" s="59">
        <f>E6/250</f>
        <v>5349.8280000000004</v>
      </c>
      <c r="F12" s="59">
        <f>F6/250</f>
        <v>4473.3680000000004</v>
      </c>
    </row>
    <row r="13" spans="1:15" ht="37.5" x14ac:dyDescent="0.3">
      <c r="A13" s="62" t="s">
        <v>85</v>
      </c>
      <c r="B13" s="53">
        <f>Eksamen!I6/Input!B3</f>
        <v>691.16861059427742</v>
      </c>
      <c r="D13" s="59">
        <f>172200/250</f>
        <v>688.8</v>
      </c>
      <c r="E13" s="59">
        <f>231663/250</f>
        <v>926.65200000000004</v>
      </c>
      <c r="F13" s="59">
        <f>181820/250</f>
        <v>727.28</v>
      </c>
    </row>
    <row r="14" spans="1:15" x14ac:dyDescent="0.3">
      <c r="H14" s="61" t="s">
        <v>42</v>
      </c>
      <c r="I14" s="54"/>
      <c r="J14" s="54"/>
      <c r="K14" s="54"/>
      <c r="L14" s="54"/>
      <c r="M14" s="54"/>
      <c r="N14" s="54"/>
    </row>
    <row r="15" spans="1:15" ht="112.5" x14ac:dyDescent="0.3">
      <c r="H15" s="41"/>
      <c r="I15" s="62" t="s">
        <v>43</v>
      </c>
      <c r="J15" s="62" t="s">
        <v>86</v>
      </c>
      <c r="K15" s="62" t="s">
        <v>55</v>
      </c>
      <c r="L15" s="62" t="s">
        <v>90</v>
      </c>
      <c r="M15" s="62" t="s">
        <v>91</v>
      </c>
      <c r="N15" s="62" t="s">
        <v>45</v>
      </c>
      <c r="O15" s="62" t="s">
        <v>44</v>
      </c>
    </row>
    <row r="16" spans="1:15" x14ac:dyDescent="0.3">
      <c r="H16" s="41" t="s">
        <v>46</v>
      </c>
      <c r="I16" s="41">
        <f>115+136+24</f>
        <v>275</v>
      </c>
      <c r="J16" s="41">
        <v>50</v>
      </c>
      <c r="K16" s="65">
        <f>I16/50</f>
        <v>5.5</v>
      </c>
      <c r="L16" s="63">
        <f>I16/$I$16</f>
        <v>1</v>
      </c>
      <c r="M16" s="63">
        <f>K16/$K$16</f>
        <v>1</v>
      </c>
      <c r="N16" s="41">
        <f>6+6</f>
        <v>12</v>
      </c>
      <c r="O16" s="63">
        <f>N16/$N$16</f>
        <v>1</v>
      </c>
    </row>
    <row r="17" spans="8:15" x14ac:dyDescent="0.3">
      <c r="H17" s="41" t="s">
        <v>47</v>
      </c>
      <c r="I17" s="41">
        <f>139+110+4</f>
        <v>253</v>
      </c>
      <c r="J17" s="41">
        <v>60</v>
      </c>
      <c r="K17" s="65">
        <f>I17/60</f>
        <v>4.2166666666666668</v>
      </c>
      <c r="L17" s="63">
        <f>I17/$I$16</f>
        <v>0.92</v>
      </c>
      <c r="M17" s="63">
        <f>K17/$K$16</f>
        <v>0.76666666666666672</v>
      </c>
      <c r="N17" s="41">
        <f>3+3</f>
        <v>6</v>
      </c>
      <c r="O17" s="63">
        <f>N17/$N$16</f>
        <v>0.5</v>
      </c>
    </row>
    <row r="18" spans="8:15" x14ac:dyDescent="0.3">
      <c r="H18" s="41" t="s">
        <v>48</v>
      </c>
      <c r="I18" s="41">
        <f>116+98</f>
        <v>214</v>
      </c>
      <c r="J18" s="41">
        <v>50</v>
      </c>
      <c r="K18" s="65">
        <f>I18/50</f>
        <v>4.28</v>
      </c>
      <c r="L18" s="63">
        <f>I18/$I$16</f>
        <v>0.7781818181818182</v>
      </c>
      <c r="M18" s="63">
        <f>K18/$K$16</f>
        <v>0.7781818181818182</v>
      </c>
      <c r="N18" s="41">
        <f>5+3</f>
        <v>8</v>
      </c>
      <c r="O18" s="63">
        <f>N18/$N$16</f>
        <v>0.66666666666666663</v>
      </c>
    </row>
    <row r="19" spans="8:15" x14ac:dyDescent="0.3">
      <c r="H19" s="41" t="s">
        <v>49</v>
      </c>
      <c r="I19" s="41">
        <f>130+89</f>
        <v>219</v>
      </c>
      <c r="J19" s="41">
        <v>50</v>
      </c>
      <c r="K19" s="65">
        <f>I19/50</f>
        <v>4.38</v>
      </c>
      <c r="L19" s="63">
        <f>I19/$I$16</f>
        <v>0.79636363636363638</v>
      </c>
      <c r="M19" s="63">
        <f>K19/$K$16</f>
        <v>0.79636363636363638</v>
      </c>
      <c r="N19" s="41">
        <f>5.5</f>
        <v>5.5</v>
      </c>
      <c r="O19" s="63">
        <f>N19/$N$16</f>
        <v>0.45833333333333331</v>
      </c>
    </row>
    <row r="20" spans="8:15" x14ac:dyDescent="0.3">
      <c r="H20" s="54"/>
      <c r="I20" s="54"/>
      <c r="J20" s="54"/>
      <c r="K20" s="54"/>
      <c r="L20" s="54"/>
      <c r="M20" s="54"/>
      <c r="N20" s="54"/>
    </row>
    <row r="21" spans="8:15" x14ac:dyDescent="0.3">
      <c r="H21" s="54"/>
      <c r="I21" s="54"/>
      <c r="J21" s="54"/>
      <c r="K21" s="54"/>
      <c r="L21" s="54"/>
      <c r="M21" s="54"/>
      <c r="N21" s="54"/>
    </row>
    <row r="22" spans="8:15" x14ac:dyDescent="0.3">
      <c r="H22" s="54"/>
      <c r="I22" s="54"/>
      <c r="J22" s="54"/>
      <c r="K22" s="54"/>
      <c r="L22" s="54"/>
      <c r="M22" s="54"/>
      <c r="N22" s="54"/>
    </row>
    <row r="23" spans="8:15" x14ac:dyDescent="0.3">
      <c r="H23" s="54"/>
      <c r="I23" s="54"/>
      <c r="J23" s="54"/>
      <c r="K23" s="54"/>
      <c r="L23" s="54"/>
      <c r="M23" s="54"/>
      <c r="N23" s="54"/>
    </row>
    <row r="24" spans="8:15" x14ac:dyDescent="0.3">
      <c r="H24" s="54"/>
      <c r="I24" s="54"/>
      <c r="J24" s="54"/>
      <c r="K24" s="54"/>
      <c r="L24" s="54"/>
      <c r="M24" s="54"/>
      <c r="N24" s="54"/>
    </row>
    <row r="25" spans="8:15" x14ac:dyDescent="0.3">
      <c r="H25" s="54"/>
      <c r="I25" s="54"/>
      <c r="J25" s="54"/>
      <c r="K25" s="54"/>
      <c r="L25" s="54"/>
      <c r="M25" s="54"/>
      <c r="N25" s="54"/>
    </row>
    <row r="26" spans="8:15" x14ac:dyDescent="0.3">
      <c r="H26" s="54"/>
      <c r="I26" s="54"/>
      <c r="J26" s="54"/>
      <c r="K26" s="54"/>
      <c r="L26" s="54"/>
      <c r="M26" s="54"/>
      <c r="N26" s="54"/>
    </row>
    <row r="27" spans="8:15" x14ac:dyDescent="0.3">
      <c r="H27" s="54"/>
      <c r="I27" s="54"/>
      <c r="J27" s="54"/>
      <c r="K27" s="54"/>
      <c r="L27" s="54"/>
      <c r="M27" s="54"/>
      <c r="N27" s="54"/>
    </row>
    <row r="28" spans="8:15" x14ac:dyDescent="0.3">
      <c r="H28" s="54"/>
      <c r="I28" s="54"/>
      <c r="J28" s="54"/>
      <c r="K28" s="54"/>
      <c r="L28" s="54"/>
      <c r="M28" s="54"/>
      <c r="N28" s="54"/>
    </row>
  </sheetData>
  <sheetProtection selectLockedCells="1"/>
  <mergeCells count="2">
    <mergeCell ref="D1:F1"/>
    <mergeCell ref="H6:L6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Input</vt:lpstr>
      <vt:lpstr>Forelesning</vt:lpstr>
      <vt:lpstr>Kurs</vt:lpstr>
      <vt:lpstr>Smågrupper</vt:lpstr>
      <vt:lpstr>Eksamen</vt:lpstr>
      <vt:lpstr>Oppgaver</vt:lpstr>
      <vt:lpstr>Oversikt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Skjeie</dc:creator>
  <cp:lastModifiedBy>Trond Skjeie</cp:lastModifiedBy>
  <cp:lastPrinted>2019-06-05T13:23:58Z</cp:lastPrinted>
  <dcterms:created xsi:type="dcterms:W3CDTF">2019-04-06T10:20:59Z</dcterms:created>
  <dcterms:modified xsi:type="dcterms:W3CDTF">2020-06-04T06:29:43Z</dcterms:modified>
</cp:coreProperties>
</file>