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ml.chartshapes+xml"/>
  <Override PartName="/xl/charts/chart14.xml" ContentType="application/vnd.openxmlformats-officedocument.drawingml.chart+xml"/>
  <Override PartName="/xl/drawings/drawing6.xml" ContentType="application/vnd.openxmlformats-officedocument.drawingml.chartshapes+xml"/>
  <Override PartName="/xl/charts/chart15.xml" ContentType="application/vnd.openxmlformats-officedocument.drawingml.chart+xml"/>
  <Override PartName="/xl/drawings/drawing7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ml.chartshapes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3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4.xml" ContentType="application/vnd.openxmlformats-officedocument.drawingml.chartshapes+xml"/>
  <Override PartName="/xl/charts/chart34.xml" ContentType="application/vnd.openxmlformats-officedocument.drawingml.chart+xml"/>
  <Override PartName="/xl/drawings/drawing15.xml" ContentType="application/vnd.openxmlformats-officedocument.drawingml.chartshapes+xml"/>
  <Override PartName="/xl/charts/chart35.xml" ContentType="application/vnd.openxmlformats-officedocument.drawingml.chart+xml"/>
  <Override PartName="/xl/drawings/drawing16.xml" ContentType="application/vnd.openxmlformats-officedocument.drawingml.chartshapes+xml"/>
  <Override PartName="/xl/charts/chart36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15600" windowHeight="6495" tabRatio="810"/>
  </bookViews>
  <sheets>
    <sheet name="2016 Data" sheetId="1" r:id="rId1"/>
    <sheet name="2015 Statistics" sheetId="30" r:id="rId2"/>
    <sheet name="2013 - 2016 All data" sheetId="36" r:id="rId3"/>
    <sheet name="2013 - 2015 Statistics" sheetId="37" r:id="rId4"/>
    <sheet name="2016 Statistics" sheetId="39" r:id="rId5"/>
    <sheet name="2013 - 2016 Statistics" sheetId="40" r:id="rId6"/>
  </sheets>
  <definedNames>
    <definedName name="_xlnm._FilterDatabase" localSheetId="0" hidden="1">'2016 Data'!$A$1:$AR$4</definedName>
    <definedName name="_xlnm.Print_Area" localSheetId="0">'2016 Data'!#REF!</definedName>
  </definedNames>
  <calcPr calcId="145621"/>
</workbook>
</file>

<file path=xl/calcChain.xml><?xml version="1.0" encoding="utf-8"?>
<calcChain xmlns="http://schemas.openxmlformats.org/spreadsheetml/2006/main">
  <c r="BA32" i="36" l="1"/>
  <c r="AZ32" i="36"/>
  <c r="AY32" i="36"/>
  <c r="AX32" i="36"/>
  <c r="AW32" i="36"/>
  <c r="AV32" i="36"/>
  <c r="AU32" i="36"/>
  <c r="AT32" i="36"/>
  <c r="AS32" i="36"/>
  <c r="AR32" i="36"/>
  <c r="BA17" i="36"/>
  <c r="AZ17" i="36"/>
  <c r="AY17" i="36"/>
  <c r="AX17" i="36"/>
  <c r="AW17" i="36"/>
  <c r="AV17" i="36"/>
  <c r="AU17" i="36"/>
  <c r="AT17" i="36"/>
  <c r="AS17" i="36"/>
  <c r="AR17" i="36"/>
  <c r="BA47" i="36"/>
  <c r="AZ47" i="36"/>
  <c r="AY47" i="36"/>
  <c r="AX47" i="36"/>
  <c r="AW47" i="36"/>
  <c r="AV47" i="36"/>
  <c r="AU47" i="36"/>
  <c r="AT47" i="36"/>
  <c r="AS47" i="36"/>
  <c r="AR47" i="36"/>
  <c r="BA12" i="36"/>
  <c r="AZ12" i="36"/>
  <c r="AY12" i="36"/>
  <c r="AX12" i="36"/>
  <c r="AW12" i="36"/>
  <c r="AV12" i="36"/>
  <c r="AU12" i="36"/>
  <c r="AT12" i="36"/>
  <c r="AS12" i="36"/>
  <c r="AR12" i="36"/>
  <c r="BA42" i="36"/>
  <c r="AZ42" i="36"/>
  <c r="AY42" i="36"/>
  <c r="AX42" i="36"/>
  <c r="AW42" i="36"/>
  <c r="AV42" i="36"/>
  <c r="AU42" i="36"/>
  <c r="AT42" i="36"/>
  <c r="AS42" i="36"/>
  <c r="AR42" i="36"/>
  <c r="BA22" i="36"/>
  <c r="AZ22" i="36"/>
  <c r="AY22" i="36"/>
  <c r="AX22" i="36"/>
  <c r="AW22" i="36"/>
  <c r="AV22" i="36"/>
  <c r="AU22" i="36"/>
  <c r="AT22" i="36"/>
  <c r="AS22" i="36"/>
  <c r="AR22" i="36"/>
  <c r="BB22" i="36" s="1"/>
  <c r="BA37" i="36"/>
  <c r="AZ37" i="36"/>
  <c r="AY37" i="36"/>
  <c r="AX37" i="36"/>
  <c r="AW37" i="36"/>
  <c r="AV37" i="36"/>
  <c r="AU37" i="36"/>
  <c r="AT37" i="36"/>
  <c r="AS37" i="36"/>
  <c r="AR37" i="36"/>
  <c r="BA7" i="36"/>
  <c r="AZ7" i="36"/>
  <c r="AY7" i="36"/>
  <c r="AX7" i="36"/>
  <c r="AW7" i="36"/>
  <c r="AV7" i="36"/>
  <c r="AU7" i="36"/>
  <c r="AT7" i="36"/>
  <c r="AS7" i="36"/>
  <c r="AR7" i="36"/>
  <c r="BA27" i="36"/>
  <c r="AZ27" i="36"/>
  <c r="AY27" i="36"/>
  <c r="AX27" i="36"/>
  <c r="AW27" i="36"/>
  <c r="AV27" i="36"/>
  <c r="AU27" i="36"/>
  <c r="AT27" i="36"/>
  <c r="AS27" i="36"/>
  <c r="AR27" i="36"/>
  <c r="AP32" i="36"/>
  <c r="AO32" i="36"/>
  <c r="AG32" i="36"/>
  <c r="AI32" i="36" s="1"/>
  <c r="AK32" i="36" s="1"/>
  <c r="AP17" i="36"/>
  <c r="AO17" i="36"/>
  <c r="AG17" i="36"/>
  <c r="AI17" i="36" s="1"/>
  <c r="AP47" i="36"/>
  <c r="AO47" i="36"/>
  <c r="AG47" i="36"/>
  <c r="AI47" i="36" s="1"/>
  <c r="AP12" i="36"/>
  <c r="AO12" i="36"/>
  <c r="AG12" i="36"/>
  <c r="AI12" i="36" s="1"/>
  <c r="AP42" i="36"/>
  <c r="AO42" i="36"/>
  <c r="AG42" i="36"/>
  <c r="AI42" i="36" s="1"/>
  <c r="AK42" i="36" s="1"/>
  <c r="AP22" i="36"/>
  <c r="AO22" i="36"/>
  <c r="AG22" i="36"/>
  <c r="AI22" i="36" s="1"/>
  <c r="AP37" i="36"/>
  <c r="AO37" i="36"/>
  <c r="AG37" i="36"/>
  <c r="AI37" i="36" s="1"/>
  <c r="AP7" i="36"/>
  <c r="AO7" i="36"/>
  <c r="AG7" i="36"/>
  <c r="AI7" i="36" s="1"/>
  <c r="AP27" i="36"/>
  <c r="AO27" i="36"/>
  <c r="AG27" i="36"/>
  <c r="AI27" i="36" s="1"/>
  <c r="AM27" i="36" s="1"/>
  <c r="AE27" i="36"/>
  <c r="O27" i="36"/>
  <c r="P27" i="36"/>
  <c r="O7" i="36"/>
  <c r="P7" i="36"/>
  <c r="AE7" i="36"/>
  <c r="O37" i="36"/>
  <c r="P37" i="36"/>
  <c r="AE37" i="36"/>
  <c r="O22" i="36"/>
  <c r="P22" i="36"/>
  <c r="AE22" i="36"/>
  <c r="O42" i="36"/>
  <c r="P42" i="36"/>
  <c r="AE42" i="36"/>
  <c r="O12" i="36"/>
  <c r="P12" i="36"/>
  <c r="AE12" i="36"/>
  <c r="O47" i="36"/>
  <c r="P47" i="36"/>
  <c r="AE47" i="36"/>
  <c r="O17" i="36"/>
  <c r="P17" i="36"/>
  <c r="AE17" i="36"/>
  <c r="O32" i="36"/>
  <c r="P32" i="36"/>
  <c r="AE32" i="36"/>
  <c r="BF42" i="36" l="1"/>
  <c r="BF32" i="36"/>
  <c r="BF47" i="36"/>
  <c r="BF7" i="36"/>
  <c r="BF27" i="36"/>
  <c r="BB7" i="36"/>
  <c r="BD7" i="36" s="1"/>
  <c r="BF37" i="36"/>
  <c r="BD22" i="36"/>
  <c r="BE22" i="36" s="1"/>
  <c r="BB27" i="36"/>
  <c r="BD27" i="36" s="1"/>
  <c r="BE27" i="36" s="1"/>
  <c r="BB37" i="36"/>
  <c r="BB42" i="36"/>
  <c r="BB47" i="36"/>
  <c r="BB32" i="36"/>
  <c r="BD32" i="36" s="1"/>
  <c r="BE32" i="36" s="1"/>
  <c r="BD37" i="36"/>
  <c r="BE37" i="36" s="1"/>
  <c r="BF22" i="36"/>
  <c r="BD42" i="36"/>
  <c r="BE42" i="36" s="1"/>
  <c r="BF12" i="36"/>
  <c r="BF17" i="36"/>
  <c r="BB12" i="36"/>
  <c r="BD12" i="36" s="1"/>
  <c r="BE12" i="36" s="1"/>
  <c r="BB17" i="36"/>
  <c r="BD17" i="36" s="1"/>
  <c r="BE17" i="36" s="1"/>
  <c r="AM7" i="36"/>
  <c r="AK7" i="36"/>
  <c r="AM47" i="36"/>
  <c r="AK47" i="36"/>
  <c r="AM12" i="36"/>
  <c r="AK12" i="36"/>
  <c r="AM22" i="36"/>
  <c r="AK22" i="36"/>
  <c r="AK37" i="36"/>
  <c r="AM37" i="36"/>
  <c r="AM17" i="36"/>
  <c r="AK17" i="36"/>
  <c r="AK27" i="36"/>
  <c r="AN27" i="36" s="1"/>
  <c r="AM42" i="36"/>
  <c r="AN42" i="36" s="1"/>
  <c r="AM32" i="36"/>
  <c r="AN32" i="36" s="1"/>
  <c r="R6" i="1"/>
  <c r="Q6" i="1"/>
  <c r="R11" i="1"/>
  <c r="Q11" i="1"/>
  <c r="R12" i="1"/>
  <c r="Q12" i="1"/>
  <c r="R5" i="1"/>
  <c r="Q5" i="1"/>
  <c r="R8" i="1"/>
  <c r="Q8" i="1"/>
  <c r="R7" i="1"/>
  <c r="Q7" i="1"/>
  <c r="R10" i="1"/>
  <c r="Q10" i="1"/>
  <c r="R9" i="1"/>
  <c r="Q9" i="1"/>
  <c r="R4" i="1"/>
  <c r="Q4" i="1"/>
  <c r="AO4" i="1"/>
  <c r="AQ4" i="1"/>
  <c r="AR4" i="1"/>
  <c r="AO9" i="1"/>
  <c r="AQ9" i="1"/>
  <c r="AR9" i="1"/>
  <c r="AN10" i="1"/>
  <c r="AO10" i="1"/>
  <c r="AQ10" i="1"/>
  <c r="AR10" i="1"/>
  <c r="AN7" i="1"/>
  <c r="AO7" i="1"/>
  <c r="AQ7" i="1"/>
  <c r="AR7" i="1"/>
  <c r="AN8" i="1"/>
  <c r="AO8" i="1"/>
  <c r="AQ8" i="1"/>
  <c r="AR8" i="1"/>
  <c r="AO5" i="1"/>
  <c r="AQ5" i="1"/>
  <c r="AR5" i="1"/>
  <c r="AO12" i="1"/>
  <c r="AQ12" i="1"/>
  <c r="AR12" i="1"/>
  <c r="AN11" i="1"/>
  <c r="AO11" i="1"/>
  <c r="AQ11" i="1"/>
  <c r="AR11" i="1"/>
  <c r="AN6" i="1"/>
  <c r="AO6" i="1"/>
  <c r="AQ6" i="1"/>
  <c r="AR6" i="1"/>
  <c r="AN12" i="36" l="1"/>
  <c r="AN7" i="36"/>
  <c r="AN22" i="36"/>
  <c r="AN47" i="36"/>
  <c r="BE7" i="36"/>
  <c r="AN37" i="36"/>
  <c r="AN17" i="36"/>
  <c r="BD47" i="36"/>
  <c r="DD6" i="1"/>
  <c r="DF6" i="1" s="1"/>
  <c r="DH6" i="1" s="1"/>
  <c r="DD11" i="1"/>
  <c r="DF11" i="1" s="1"/>
  <c r="DJ11" i="1" s="1"/>
  <c r="DD12" i="1"/>
  <c r="DF12" i="1" s="1"/>
  <c r="DJ12" i="1" s="1"/>
  <c r="DD5" i="1"/>
  <c r="DF5" i="1" s="1"/>
  <c r="DH5" i="1" s="1"/>
  <c r="DD8" i="1"/>
  <c r="DF8" i="1" s="1"/>
  <c r="DJ8" i="1" s="1"/>
  <c r="DD7" i="1"/>
  <c r="DF7" i="1" s="1"/>
  <c r="DJ7" i="1" s="1"/>
  <c r="DD10" i="1"/>
  <c r="DF10" i="1" s="1"/>
  <c r="DD9" i="1"/>
  <c r="DF9" i="1" s="1"/>
  <c r="DJ9" i="1" s="1"/>
  <c r="DD4" i="1"/>
  <c r="DF4" i="1" s="1"/>
  <c r="DJ4" i="1" s="1"/>
  <c r="BE47" i="36" l="1"/>
  <c r="DH10" i="1"/>
  <c r="DJ10" i="1"/>
  <c r="DH9" i="1"/>
  <c r="DH8" i="1"/>
  <c r="DH4" i="1"/>
  <c r="DK4" i="1" s="1"/>
  <c r="DH12" i="1"/>
  <c r="DK12" i="1" s="1"/>
  <c r="DJ6" i="1"/>
  <c r="DK6" i="1" s="1"/>
  <c r="DH11" i="1"/>
  <c r="DH7" i="1"/>
  <c r="DK7" i="1" s="1"/>
  <c r="DJ5" i="1"/>
  <c r="DK5" i="1" s="1"/>
  <c r="BA36" i="36"/>
  <c r="AZ36" i="36"/>
  <c r="AY36" i="36"/>
  <c r="AX36" i="36"/>
  <c r="AW36" i="36"/>
  <c r="AV36" i="36"/>
  <c r="AU36" i="36"/>
  <c r="AT36" i="36"/>
  <c r="AS36" i="36"/>
  <c r="AR36" i="36"/>
  <c r="BB36" i="36" s="1"/>
  <c r="AP36" i="36"/>
  <c r="AO36" i="36"/>
  <c r="AG36" i="36"/>
  <c r="AI36" i="36" s="1"/>
  <c r="AM36" i="36" s="1"/>
  <c r="P36" i="36"/>
  <c r="O36" i="36"/>
  <c r="BA46" i="36"/>
  <c r="AZ46" i="36"/>
  <c r="AY46" i="36"/>
  <c r="AX46" i="36"/>
  <c r="AW46" i="36"/>
  <c r="AV46" i="36"/>
  <c r="AU46" i="36"/>
  <c r="AT46" i="36"/>
  <c r="AS46" i="36"/>
  <c r="AR46" i="36"/>
  <c r="BB46" i="36" s="1"/>
  <c r="AP46" i="36"/>
  <c r="AO46" i="36"/>
  <c r="AG46" i="36"/>
  <c r="AI46" i="36" s="1"/>
  <c r="P46" i="36"/>
  <c r="O46" i="36"/>
  <c r="BA11" i="36"/>
  <c r="AZ11" i="36"/>
  <c r="AY11" i="36"/>
  <c r="AX11" i="36"/>
  <c r="AW11" i="36"/>
  <c r="AV11" i="36"/>
  <c r="AU11" i="36"/>
  <c r="AT11" i="36"/>
  <c r="AS11" i="36"/>
  <c r="AR11" i="36"/>
  <c r="BB11" i="36" s="1"/>
  <c r="AP11" i="36"/>
  <c r="AO11" i="36"/>
  <c r="AG11" i="36"/>
  <c r="AI11" i="36" s="1"/>
  <c r="P11" i="36"/>
  <c r="O11" i="36"/>
  <c r="BA41" i="36"/>
  <c r="AZ41" i="36"/>
  <c r="AY41" i="36"/>
  <c r="AX41" i="36"/>
  <c r="AW41" i="36"/>
  <c r="AV41" i="36"/>
  <c r="AU41" i="36"/>
  <c r="AT41" i="36"/>
  <c r="AS41" i="36"/>
  <c r="AR41" i="36"/>
  <c r="AP41" i="36"/>
  <c r="AO41" i="36"/>
  <c r="AG41" i="36"/>
  <c r="AI41" i="36" s="1"/>
  <c r="P41" i="36"/>
  <c r="O41" i="36"/>
  <c r="BA6" i="36"/>
  <c r="AZ6" i="36"/>
  <c r="AY6" i="36"/>
  <c r="AX6" i="36"/>
  <c r="AW6" i="36"/>
  <c r="AV6" i="36"/>
  <c r="AU6" i="36"/>
  <c r="AT6" i="36"/>
  <c r="AS6" i="36"/>
  <c r="AR6" i="36"/>
  <c r="BB6" i="36" s="1"/>
  <c r="AP6" i="36"/>
  <c r="AO6" i="36"/>
  <c r="AG6" i="36"/>
  <c r="AI6" i="36" s="1"/>
  <c r="AM6" i="36" s="1"/>
  <c r="P6" i="36"/>
  <c r="O6" i="36"/>
  <c r="BA26" i="36"/>
  <c r="AZ26" i="36"/>
  <c r="AY26" i="36"/>
  <c r="AX26" i="36"/>
  <c r="AW26" i="36"/>
  <c r="AV26" i="36"/>
  <c r="AU26" i="36"/>
  <c r="AT26" i="36"/>
  <c r="AS26" i="36"/>
  <c r="AR26" i="36"/>
  <c r="BB26" i="36" s="1"/>
  <c r="AP26" i="36"/>
  <c r="AO26" i="36"/>
  <c r="AG26" i="36"/>
  <c r="AI26" i="36" s="1"/>
  <c r="P26" i="36"/>
  <c r="O26" i="36"/>
  <c r="BA31" i="36"/>
  <c r="AZ31" i="36"/>
  <c r="AY31" i="36"/>
  <c r="AX31" i="36"/>
  <c r="AW31" i="36"/>
  <c r="AV31" i="36"/>
  <c r="AU31" i="36"/>
  <c r="AT31" i="36"/>
  <c r="AS31" i="36"/>
  <c r="AR31" i="36"/>
  <c r="BB31" i="36" s="1"/>
  <c r="AP31" i="36"/>
  <c r="AO31" i="36"/>
  <c r="AG31" i="36"/>
  <c r="AI31" i="36" s="1"/>
  <c r="P31" i="36"/>
  <c r="O31" i="36"/>
  <c r="BA14" i="36"/>
  <c r="AZ14" i="36"/>
  <c r="AY14" i="36"/>
  <c r="AX14" i="36"/>
  <c r="AW14" i="36"/>
  <c r="AV14" i="36"/>
  <c r="AU14" i="36"/>
  <c r="AT14" i="36"/>
  <c r="AS14" i="36"/>
  <c r="AR14" i="36"/>
  <c r="AP14" i="36"/>
  <c r="AO14" i="36"/>
  <c r="AG14" i="36"/>
  <c r="AI14" i="36" s="1"/>
  <c r="P14" i="36"/>
  <c r="O14" i="36"/>
  <c r="BA21" i="36"/>
  <c r="AZ21" i="36"/>
  <c r="AY21" i="36"/>
  <c r="AX21" i="36"/>
  <c r="AW21" i="36"/>
  <c r="AV21" i="36"/>
  <c r="AU21" i="36"/>
  <c r="AT21" i="36"/>
  <c r="AS21" i="36"/>
  <c r="AR21" i="36"/>
  <c r="BB21" i="36" s="1"/>
  <c r="AP21" i="36"/>
  <c r="AO21" i="36"/>
  <c r="AG21" i="36"/>
  <c r="AI21" i="36" s="1"/>
  <c r="P21" i="36"/>
  <c r="O21" i="36"/>
  <c r="BA20" i="36"/>
  <c r="AZ20" i="36"/>
  <c r="AY20" i="36"/>
  <c r="AX20" i="36"/>
  <c r="AW20" i="36"/>
  <c r="AV20" i="36"/>
  <c r="AU20" i="36"/>
  <c r="AT20" i="36"/>
  <c r="AS20" i="36"/>
  <c r="AR20" i="36"/>
  <c r="BB20" i="36" s="1"/>
  <c r="AP20" i="36"/>
  <c r="AO20" i="36"/>
  <c r="AG20" i="36"/>
  <c r="AI20" i="36" s="1"/>
  <c r="P20" i="36"/>
  <c r="O20" i="36"/>
  <c r="BA30" i="36"/>
  <c r="AZ30" i="36"/>
  <c r="AX30" i="36"/>
  <c r="AW30" i="36"/>
  <c r="AV30" i="36"/>
  <c r="AU30" i="36"/>
  <c r="AT30" i="36"/>
  <c r="AS30" i="36"/>
  <c r="AR30" i="36"/>
  <c r="AP30" i="36"/>
  <c r="AO30" i="36"/>
  <c r="AG30" i="36"/>
  <c r="AI30" i="36" s="1"/>
  <c r="Z30" i="36"/>
  <c r="AY30" i="36" s="1"/>
  <c r="P30" i="36"/>
  <c r="O30" i="36"/>
  <c r="BA25" i="36"/>
  <c r="AZ25" i="36"/>
  <c r="AY25" i="36"/>
  <c r="AX25" i="36"/>
  <c r="AW25" i="36"/>
  <c r="AV25" i="36"/>
  <c r="AU25" i="36"/>
  <c r="AT25" i="36"/>
  <c r="AS25" i="36"/>
  <c r="AR25" i="36"/>
  <c r="AP25" i="36"/>
  <c r="AO25" i="36"/>
  <c r="AG25" i="36"/>
  <c r="AI25" i="36" s="1"/>
  <c r="P25" i="36"/>
  <c r="O25" i="36"/>
  <c r="BA5" i="36"/>
  <c r="AZ5" i="36"/>
  <c r="AY5" i="36"/>
  <c r="AX5" i="36"/>
  <c r="AW5" i="36"/>
  <c r="AV5" i="36"/>
  <c r="AU5" i="36"/>
  <c r="AT5" i="36"/>
  <c r="AS5" i="36"/>
  <c r="AR5" i="36"/>
  <c r="AP5" i="36"/>
  <c r="AO5" i="36"/>
  <c r="AG5" i="36"/>
  <c r="AI5" i="36" s="1"/>
  <c r="AM5" i="36" s="1"/>
  <c r="P5" i="36"/>
  <c r="O5" i="36"/>
  <c r="BA16" i="36"/>
  <c r="AZ16" i="36"/>
  <c r="AY16" i="36"/>
  <c r="AX16" i="36"/>
  <c r="AV16" i="36"/>
  <c r="AU16" i="36"/>
  <c r="AT16" i="36"/>
  <c r="AS16" i="36"/>
  <c r="AR16" i="36"/>
  <c r="BB16" i="36" s="1"/>
  <c r="AP16" i="36"/>
  <c r="AO16" i="36"/>
  <c r="AG16" i="36"/>
  <c r="AI16" i="36" s="1"/>
  <c r="X16" i="36"/>
  <c r="AW16" i="36" s="1"/>
  <c r="P16" i="36"/>
  <c r="O16" i="36"/>
  <c r="BA10" i="36"/>
  <c r="AZ10" i="36"/>
  <c r="AY10" i="36"/>
  <c r="AX10" i="36"/>
  <c r="AV10" i="36"/>
  <c r="AU10" i="36"/>
  <c r="AT10" i="36"/>
  <c r="AS10" i="36"/>
  <c r="AR10" i="36"/>
  <c r="BB10" i="36" s="1"/>
  <c r="AP10" i="36"/>
  <c r="AO10" i="36"/>
  <c r="AG10" i="36"/>
  <c r="AI10" i="36" s="1"/>
  <c r="X10" i="36"/>
  <c r="AW10" i="36" s="1"/>
  <c r="P10" i="36"/>
  <c r="O10" i="36"/>
  <c r="BA45" i="36"/>
  <c r="AZ45" i="36"/>
  <c r="AY45" i="36"/>
  <c r="AX45" i="36"/>
  <c r="AV45" i="36"/>
  <c r="AU45" i="36"/>
  <c r="AT45" i="36"/>
  <c r="AS45" i="36"/>
  <c r="AR45" i="36"/>
  <c r="BB45" i="36" s="1"/>
  <c r="AP45" i="36"/>
  <c r="AO45" i="36"/>
  <c r="AG45" i="36"/>
  <c r="AI45" i="36" s="1"/>
  <c r="X45" i="36"/>
  <c r="AW45" i="36" s="1"/>
  <c r="P45" i="36"/>
  <c r="O45" i="36"/>
  <c r="BA40" i="36"/>
  <c r="AZ40" i="36"/>
  <c r="AY40" i="36"/>
  <c r="AX40" i="36"/>
  <c r="AV40" i="36"/>
  <c r="AU40" i="36"/>
  <c r="AT40" i="36"/>
  <c r="AS40" i="36"/>
  <c r="AR40" i="36"/>
  <c r="BB40" i="36" s="1"/>
  <c r="AP40" i="36"/>
  <c r="AO40" i="36"/>
  <c r="AG40" i="36"/>
  <c r="AI40" i="36" s="1"/>
  <c r="AK40" i="36" s="1"/>
  <c r="X40" i="36"/>
  <c r="AW40" i="36" s="1"/>
  <c r="P40" i="36"/>
  <c r="O40" i="36"/>
  <c r="BA35" i="36"/>
  <c r="AZ35" i="36"/>
  <c r="AX35" i="36"/>
  <c r="AW35" i="36"/>
  <c r="AV35" i="36"/>
  <c r="AU35" i="36"/>
  <c r="AT35" i="36"/>
  <c r="AS35" i="36"/>
  <c r="AR35" i="36"/>
  <c r="BB35" i="36" s="1"/>
  <c r="AP35" i="36"/>
  <c r="AO35" i="36"/>
  <c r="AG35" i="36"/>
  <c r="AI35" i="36" s="1"/>
  <c r="AK35" i="36" s="1"/>
  <c r="Z35" i="36"/>
  <c r="AY35" i="36" s="1"/>
  <c r="P35" i="36"/>
  <c r="O35" i="36"/>
  <c r="BA29" i="36"/>
  <c r="AZ29" i="36"/>
  <c r="AY29" i="36"/>
  <c r="AX29" i="36"/>
  <c r="AW29" i="36"/>
  <c r="AV29" i="36"/>
  <c r="AU29" i="36"/>
  <c r="AT29" i="36"/>
  <c r="AS29" i="36"/>
  <c r="AR29" i="36"/>
  <c r="AP29" i="36"/>
  <c r="AO29" i="36"/>
  <c r="AG29" i="36"/>
  <c r="AI29" i="36" s="1"/>
  <c r="AE29" i="36"/>
  <c r="P29" i="36"/>
  <c r="O29" i="36"/>
  <c r="BA19" i="36"/>
  <c r="AZ19" i="36"/>
  <c r="AY19" i="36"/>
  <c r="AX19" i="36"/>
  <c r="AW19" i="36"/>
  <c r="AV19" i="36"/>
  <c r="AU19" i="36"/>
  <c r="AT19" i="36"/>
  <c r="AS19" i="36"/>
  <c r="AR19" i="36"/>
  <c r="AP19" i="36"/>
  <c r="AO19" i="36"/>
  <c r="AG19" i="36"/>
  <c r="AI19" i="36" s="1"/>
  <c r="AE19" i="36"/>
  <c r="P19" i="36"/>
  <c r="O19" i="36"/>
  <c r="BA39" i="36"/>
  <c r="AZ39" i="36"/>
  <c r="AY39" i="36"/>
  <c r="AX39" i="36"/>
  <c r="AW39" i="36"/>
  <c r="AV39" i="36"/>
  <c r="AU39" i="36"/>
  <c r="AT39" i="36"/>
  <c r="AS39" i="36"/>
  <c r="AR39" i="36"/>
  <c r="AP39" i="36"/>
  <c r="AO39" i="36"/>
  <c r="AG39" i="36"/>
  <c r="AI39" i="36" s="1"/>
  <c r="AE39" i="36"/>
  <c r="P39" i="36"/>
  <c r="O39" i="36"/>
  <c r="BA34" i="36"/>
  <c r="AZ34" i="36"/>
  <c r="AY34" i="36"/>
  <c r="AX34" i="36"/>
  <c r="AW34" i="36"/>
  <c r="AV34" i="36"/>
  <c r="AU34" i="36"/>
  <c r="AT34" i="36"/>
  <c r="AS34" i="36"/>
  <c r="AR34" i="36"/>
  <c r="AP34" i="36"/>
  <c r="AO34" i="36"/>
  <c r="AG34" i="36"/>
  <c r="AI34" i="36" s="1"/>
  <c r="AE34" i="36"/>
  <c r="P34" i="36"/>
  <c r="O34" i="36"/>
  <c r="BA15" i="36"/>
  <c r="AZ15" i="36"/>
  <c r="AY15" i="36"/>
  <c r="AX15" i="36"/>
  <c r="AW15" i="36"/>
  <c r="AV15" i="36"/>
  <c r="AU15" i="36"/>
  <c r="AT15" i="36"/>
  <c r="AS15" i="36"/>
  <c r="AR15" i="36"/>
  <c r="AP15" i="36"/>
  <c r="AO15" i="36"/>
  <c r="AG15" i="36"/>
  <c r="AI15" i="36" s="1"/>
  <c r="AE15" i="36"/>
  <c r="P15" i="36"/>
  <c r="O15" i="36"/>
  <c r="BA9" i="36"/>
  <c r="AZ9" i="36"/>
  <c r="AY9" i="36"/>
  <c r="AX9" i="36"/>
  <c r="AW9" i="36"/>
  <c r="AV9" i="36"/>
  <c r="AU9" i="36"/>
  <c r="AT9" i="36"/>
  <c r="AS9" i="36"/>
  <c r="AR9" i="36"/>
  <c r="AP9" i="36"/>
  <c r="AO9" i="36"/>
  <c r="AG9" i="36"/>
  <c r="AI9" i="36" s="1"/>
  <c r="AE9" i="36"/>
  <c r="P9" i="36"/>
  <c r="O9" i="36"/>
  <c r="BA44" i="36"/>
  <c r="AZ44" i="36"/>
  <c r="AY44" i="36"/>
  <c r="AX44" i="36"/>
  <c r="AW44" i="36"/>
  <c r="AV44" i="36"/>
  <c r="AU44" i="36"/>
  <c r="AT44" i="36"/>
  <c r="AS44" i="36"/>
  <c r="AR44" i="36"/>
  <c r="AP44" i="36"/>
  <c r="AO44" i="36"/>
  <c r="AG44" i="36"/>
  <c r="AI44" i="36" s="1"/>
  <c r="AM44" i="36" s="1"/>
  <c r="AE44" i="36"/>
  <c r="P44" i="36"/>
  <c r="O44" i="36"/>
  <c r="BA4" i="36"/>
  <c r="AZ4" i="36"/>
  <c r="AY4" i="36"/>
  <c r="AX4" i="36"/>
  <c r="AW4" i="36"/>
  <c r="AV4" i="36"/>
  <c r="AU4" i="36"/>
  <c r="AT4" i="36"/>
  <c r="AS4" i="36"/>
  <c r="AR4" i="36"/>
  <c r="BB4" i="36" s="1"/>
  <c r="AP4" i="36"/>
  <c r="AO4" i="36"/>
  <c r="AG4" i="36"/>
  <c r="AI4" i="36" s="1"/>
  <c r="AE4" i="36"/>
  <c r="P4" i="36"/>
  <c r="O4" i="36"/>
  <c r="BA24" i="36"/>
  <c r="AZ24" i="36"/>
  <c r="AY24" i="36"/>
  <c r="AX24" i="36"/>
  <c r="AW24" i="36"/>
  <c r="AV24" i="36"/>
  <c r="AU24" i="36"/>
  <c r="AT24" i="36"/>
  <c r="AS24" i="36"/>
  <c r="AR24" i="36"/>
  <c r="BB24" i="36" s="1"/>
  <c r="AP24" i="36"/>
  <c r="AO24" i="36"/>
  <c r="AG24" i="36"/>
  <c r="AI24" i="36" s="1"/>
  <c r="AM24" i="36" s="1"/>
  <c r="P24" i="36"/>
  <c r="O24" i="36"/>
  <c r="BF44" i="36" l="1"/>
  <c r="BF9" i="36"/>
  <c r="BF34" i="36"/>
  <c r="BF39" i="36"/>
  <c r="BF19" i="36"/>
  <c r="BF29" i="36"/>
  <c r="DK10" i="1"/>
  <c r="DK8" i="1"/>
  <c r="DK11" i="1"/>
  <c r="DK9" i="1"/>
  <c r="BF15" i="36"/>
  <c r="BD4" i="36"/>
  <c r="BE4" i="36" s="1"/>
  <c r="BD46" i="36"/>
  <c r="BE46" i="36" s="1"/>
  <c r="AM4" i="36"/>
  <c r="AK4" i="36"/>
  <c r="BD35" i="36"/>
  <c r="BE35" i="36" s="1"/>
  <c r="BD10" i="36"/>
  <c r="BE10" i="36" s="1"/>
  <c r="BD21" i="36"/>
  <c r="BE21" i="36" s="1"/>
  <c r="BF14" i="36"/>
  <c r="BF24" i="36"/>
  <c r="AK24" i="36"/>
  <c r="AN24" i="36" s="1"/>
  <c r="BD16" i="36"/>
  <c r="BE16" i="36" s="1"/>
  <c r="BF25" i="36"/>
  <c r="BF30" i="36"/>
  <c r="BD6" i="36"/>
  <c r="BE6" i="36" s="1"/>
  <c r="BD40" i="36"/>
  <c r="BE40" i="36" s="1"/>
  <c r="BD36" i="36"/>
  <c r="BE36" i="36" s="1"/>
  <c r="BD24" i="36"/>
  <c r="BE24" i="36" s="1"/>
  <c r="BF4" i="36"/>
  <c r="AK44" i="36"/>
  <c r="AN44" i="36" s="1"/>
  <c r="BD45" i="36"/>
  <c r="BE45" i="36" s="1"/>
  <c r="BB5" i="36"/>
  <c r="BD5" i="36" s="1"/>
  <c r="BE5" i="36" s="1"/>
  <c r="BD26" i="36"/>
  <c r="BE26" i="36" s="1"/>
  <c r="BF6" i="36"/>
  <c r="BF41" i="36"/>
  <c r="AM25" i="36"/>
  <c r="AK25" i="36"/>
  <c r="AM9" i="36"/>
  <c r="AK9" i="36"/>
  <c r="AM15" i="36"/>
  <c r="AK15" i="36"/>
  <c r="AM34" i="36"/>
  <c r="AK34" i="36"/>
  <c r="AM39" i="36"/>
  <c r="AK39" i="36"/>
  <c r="AM19" i="36"/>
  <c r="AK19" i="36"/>
  <c r="AM29" i="36"/>
  <c r="AK29" i="36"/>
  <c r="AK26" i="36"/>
  <c r="AM26" i="36"/>
  <c r="AM11" i="36"/>
  <c r="AK11" i="36"/>
  <c r="AK10" i="36"/>
  <c r="AM10" i="36"/>
  <c r="AK21" i="36"/>
  <c r="AM21" i="36"/>
  <c r="AM31" i="36"/>
  <c r="AK31" i="36"/>
  <c r="AM41" i="36"/>
  <c r="AK41" i="36"/>
  <c r="AM20" i="36"/>
  <c r="AK20" i="36"/>
  <c r="AM14" i="36"/>
  <c r="AK14" i="36"/>
  <c r="AK16" i="36"/>
  <c r="AM16" i="36"/>
  <c r="AM30" i="36"/>
  <c r="AK30" i="36"/>
  <c r="AK46" i="36"/>
  <c r="AM46" i="36"/>
  <c r="AK45" i="36"/>
  <c r="AM45" i="36"/>
  <c r="BB44" i="36"/>
  <c r="BD44" i="36" s="1"/>
  <c r="BE44" i="36" s="1"/>
  <c r="BB9" i="36"/>
  <c r="BD9" i="36" s="1"/>
  <c r="BE9" i="36" s="1"/>
  <c r="BB15" i="36"/>
  <c r="BD15" i="36" s="1"/>
  <c r="BE15" i="36" s="1"/>
  <c r="BB34" i="36"/>
  <c r="BD34" i="36" s="1"/>
  <c r="BE34" i="36" s="1"/>
  <c r="BB39" i="36"/>
  <c r="BD39" i="36" s="1"/>
  <c r="BE39" i="36" s="1"/>
  <c r="BB19" i="36"/>
  <c r="BD19" i="36" s="1"/>
  <c r="BE19" i="36" s="1"/>
  <c r="BB29" i="36"/>
  <c r="BD29" i="36" s="1"/>
  <c r="BE29" i="36" s="1"/>
  <c r="AM35" i="36"/>
  <c r="AN35" i="36" s="1"/>
  <c r="AM40" i="36"/>
  <c r="AN40" i="36" s="1"/>
  <c r="BF5" i="36"/>
  <c r="BB25" i="36"/>
  <c r="BD25" i="36" s="1"/>
  <c r="BE25" i="36" s="1"/>
  <c r="BB30" i="36"/>
  <c r="BD30" i="36" s="1"/>
  <c r="BE30" i="36" s="1"/>
  <c r="BD20" i="36"/>
  <c r="BE20" i="36" s="1"/>
  <c r="BB14" i="36"/>
  <c r="BD14" i="36" s="1"/>
  <c r="BE14" i="36" s="1"/>
  <c r="BD31" i="36"/>
  <c r="BE31" i="36" s="1"/>
  <c r="BB41" i="36"/>
  <c r="BD41" i="36" s="1"/>
  <c r="BE41" i="36" s="1"/>
  <c r="BD11" i="36"/>
  <c r="BE11" i="36" s="1"/>
  <c r="BF36" i="36"/>
  <c r="BF35" i="36"/>
  <c r="BF40" i="36"/>
  <c r="BF45" i="36"/>
  <c r="BF10" i="36"/>
  <c r="BF16" i="36"/>
  <c r="BF21" i="36"/>
  <c r="BF26" i="36"/>
  <c r="BF46" i="36"/>
  <c r="AK5" i="36"/>
  <c r="AN5" i="36" s="1"/>
  <c r="BF20" i="36"/>
  <c r="BF31" i="36"/>
  <c r="AK6" i="36"/>
  <c r="AN6" i="36" s="1"/>
  <c r="BF11" i="36"/>
  <c r="AK36" i="36"/>
  <c r="AN36" i="36" s="1"/>
  <c r="AN20" i="36" l="1"/>
  <c r="AN31" i="36"/>
  <c r="AN11" i="36"/>
  <c r="AN4" i="36"/>
  <c r="AN19" i="36"/>
  <c r="AN34" i="36"/>
  <c r="AN9" i="36"/>
  <c r="AN30" i="36"/>
  <c r="AN14" i="36"/>
  <c r="AN41" i="36"/>
  <c r="AN25" i="36"/>
  <c r="AN29" i="36"/>
  <c r="AN39" i="36"/>
  <c r="AN15" i="36"/>
  <c r="AN45" i="36"/>
  <c r="AN16" i="36"/>
  <c r="AN21" i="36"/>
  <c r="AN10" i="36"/>
  <c r="AN26" i="36"/>
  <c r="AN46" i="36"/>
  <c r="AT41" i="1" l="1"/>
  <c r="AT38" i="1"/>
  <c r="AT35" i="1"/>
  <c r="AT32" i="1"/>
  <c r="AT29" i="1"/>
  <c r="AT26" i="1"/>
  <c r="AT23" i="1"/>
  <c r="AT20" i="1"/>
  <c r="AT17" i="1"/>
  <c r="CG4" i="1" l="1"/>
  <c r="AU4" i="1"/>
  <c r="AV4" i="1"/>
  <c r="AW4" i="1"/>
  <c r="AX4" i="1"/>
  <c r="AY4" i="1"/>
  <c r="AZ4" i="1"/>
  <c r="BA4" i="1"/>
  <c r="BB4" i="1"/>
  <c r="BC4" i="1"/>
  <c r="AU9" i="1"/>
  <c r="AU10" i="1"/>
  <c r="BF10" i="1"/>
  <c r="AU7" i="1"/>
  <c r="BF7" i="1"/>
  <c r="AU8" i="1"/>
  <c r="BF8" i="1"/>
  <c r="AU5" i="1"/>
  <c r="AU12" i="1"/>
  <c r="AU11" i="1"/>
  <c r="AU6" i="1"/>
  <c r="BF5" i="1"/>
  <c r="BF9" i="1"/>
  <c r="BF4" i="1"/>
  <c r="BD6" i="1"/>
  <c r="BC6" i="1"/>
  <c r="BB6" i="1"/>
  <c r="BA6" i="1"/>
  <c r="BD11" i="1"/>
  <c r="BC11" i="1"/>
  <c r="BB11" i="1"/>
  <c r="BA11" i="1"/>
  <c r="BD12" i="1"/>
  <c r="BC12" i="1"/>
  <c r="BB12" i="1"/>
  <c r="BA12" i="1"/>
  <c r="BD5" i="1"/>
  <c r="BC5" i="1"/>
  <c r="BB5" i="1"/>
  <c r="BA5" i="1"/>
  <c r="BD8" i="1"/>
  <c r="BC8" i="1"/>
  <c r="BB8" i="1"/>
  <c r="BA8" i="1"/>
  <c r="BD7" i="1"/>
  <c r="BC7" i="1"/>
  <c r="BB7" i="1"/>
  <c r="BA7" i="1"/>
  <c r="BD10" i="1"/>
  <c r="BC10" i="1"/>
  <c r="BB10" i="1"/>
  <c r="BA10" i="1"/>
  <c r="BD9" i="1"/>
  <c r="BC9" i="1"/>
  <c r="BB9" i="1"/>
  <c r="BB21" i="1" s="1"/>
  <c r="BA9" i="1"/>
  <c r="BA21" i="1" s="1"/>
  <c r="BD4" i="1"/>
  <c r="AZ6" i="1"/>
  <c r="AZ11" i="1"/>
  <c r="AZ12" i="1"/>
  <c r="AZ5" i="1"/>
  <c r="AZ8" i="1"/>
  <c r="AZ7" i="1"/>
  <c r="AZ10" i="1"/>
  <c r="AZ9" i="1"/>
  <c r="AV9" i="1"/>
  <c r="AW9" i="1"/>
  <c r="AX9" i="1"/>
  <c r="AY9" i="1"/>
  <c r="AV10" i="1"/>
  <c r="AW10" i="1"/>
  <c r="AX10" i="1"/>
  <c r="AY10" i="1"/>
  <c r="AV7" i="1"/>
  <c r="AW7" i="1"/>
  <c r="AX7" i="1"/>
  <c r="AY7" i="1"/>
  <c r="AV8" i="1"/>
  <c r="AW8" i="1"/>
  <c r="AX8" i="1"/>
  <c r="AY8" i="1"/>
  <c r="AV5" i="1"/>
  <c r="AW5" i="1"/>
  <c r="AX5" i="1"/>
  <c r="AY5" i="1"/>
  <c r="AV12" i="1"/>
  <c r="AV35" i="1" s="1"/>
  <c r="AW12" i="1"/>
  <c r="AW35" i="1" s="1"/>
  <c r="AX12" i="1"/>
  <c r="AX35" i="1" s="1"/>
  <c r="AY12" i="1"/>
  <c r="AV11" i="1"/>
  <c r="AW11" i="1"/>
  <c r="AX11" i="1"/>
  <c r="AY11" i="1"/>
  <c r="AV6" i="1"/>
  <c r="AV41" i="1" s="1"/>
  <c r="AW6" i="1"/>
  <c r="AW41" i="1" s="1"/>
  <c r="AX6" i="1"/>
  <c r="AX41" i="1" s="1"/>
  <c r="AY6" i="1"/>
  <c r="CT7" i="1"/>
  <c r="CV7" i="1" s="1"/>
  <c r="CG7" i="1"/>
  <c r="CT9" i="1"/>
  <c r="CV9" i="1" s="1"/>
  <c r="CT8" i="1"/>
  <c r="CV8" i="1" s="1"/>
  <c r="CT5" i="1"/>
  <c r="CV5" i="1" s="1"/>
  <c r="CT12" i="1"/>
  <c r="CV12" i="1" s="1"/>
  <c r="CT11" i="1"/>
  <c r="CV11" i="1" s="1"/>
  <c r="CT6" i="1"/>
  <c r="CV6" i="1" s="1"/>
  <c r="CX6" i="1" s="1"/>
  <c r="CT10" i="1"/>
  <c r="CV10" i="1" s="1"/>
  <c r="CG9" i="1"/>
  <c r="CG8" i="1"/>
  <c r="CG5" i="1"/>
  <c r="CG12" i="1"/>
  <c r="CG11" i="1"/>
  <c r="CG6" i="1"/>
  <c r="CG10" i="1"/>
  <c r="CT4" i="1"/>
  <c r="CV4" i="1" s="1"/>
  <c r="AZ21" i="1" l="1"/>
  <c r="AV38" i="1"/>
  <c r="BC21" i="1"/>
  <c r="AY41" i="1"/>
  <c r="BC33" i="1"/>
  <c r="BD33" i="1"/>
  <c r="BA33" i="1"/>
  <c r="BB33" i="1"/>
  <c r="BA27" i="1"/>
  <c r="AZ42" i="1"/>
  <c r="BC27" i="1"/>
  <c r="AU26" i="1"/>
  <c r="AV26" i="1"/>
  <c r="BC24" i="1"/>
  <c r="AY29" i="1"/>
  <c r="BD24" i="1"/>
  <c r="BD39" i="1"/>
  <c r="AX29" i="1"/>
  <c r="AZ24" i="1"/>
  <c r="BA24" i="1"/>
  <c r="BA39" i="1"/>
  <c r="AW26" i="1"/>
  <c r="AZ27" i="1"/>
  <c r="BB24" i="1"/>
  <c r="BC39" i="1"/>
  <c r="BD21" i="1"/>
  <c r="AX26" i="1"/>
  <c r="AU38" i="1"/>
  <c r="AU29" i="1"/>
  <c r="AY26" i="1"/>
  <c r="BD18" i="1"/>
  <c r="AZ39" i="1"/>
  <c r="BB27" i="1"/>
  <c r="BF21" i="1"/>
  <c r="AU20" i="1"/>
  <c r="AZ18" i="1"/>
  <c r="AW32" i="1"/>
  <c r="AW20" i="1"/>
  <c r="BA30" i="1"/>
  <c r="BA36" i="1"/>
  <c r="BA42" i="1"/>
  <c r="BF18" i="1"/>
  <c r="BA18" i="1"/>
  <c r="AW17" i="1"/>
  <c r="AV32" i="1"/>
  <c r="AV29" i="1"/>
  <c r="AZ30" i="1"/>
  <c r="BB42" i="1"/>
  <c r="AV17" i="1"/>
  <c r="AW23" i="1"/>
  <c r="AV23" i="1"/>
  <c r="AW38" i="1"/>
  <c r="AW29" i="1"/>
  <c r="AV20" i="1"/>
  <c r="BB30" i="1"/>
  <c r="BB36" i="1"/>
  <c r="BB39" i="1"/>
  <c r="BF27" i="1"/>
  <c r="AY38" i="1"/>
  <c r="AY35" i="1"/>
  <c r="AY32" i="1"/>
  <c r="AY23" i="1"/>
  <c r="AY20" i="1"/>
  <c r="AZ33" i="1"/>
  <c r="BB18" i="1"/>
  <c r="BC30" i="1"/>
  <c r="BC36" i="1"/>
  <c r="BC42" i="1"/>
  <c r="BC18" i="1"/>
  <c r="AY17" i="1"/>
  <c r="AX38" i="1"/>
  <c r="AX32" i="1"/>
  <c r="AX23" i="1"/>
  <c r="AX20" i="1"/>
  <c r="AZ36" i="1"/>
  <c r="BD27" i="1"/>
  <c r="BD30" i="1"/>
  <c r="BD36" i="1"/>
  <c r="BD42" i="1"/>
  <c r="AU41" i="1"/>
  <c r="BF30" i="1"/>
  <c r="AX17" i="1"/>
  <c r="AU32" i="1"/>
  <c r="AU35" i="1"/>
  <c r="AU23" i="1"/>
  <c r="AU17" i="1"/>
  <c r="BE4" i="1"/>
  <c r="CX10" i="1"/>
  <c r="CZ10" i="1"/>
  <c r="CX11" i="1"/>
  <c r="CZ11" i="1"/>
  <c r="CZ6" i="1"/>
  <c r="DA6" i="1" s="1"/>
  <c r="BJ11" i="1"/>
  <c r="BK11" i="1" s="1"/>
  <c r="BU11" i="1" s="1"/>
  <c r="CD11" i="1" s="1"/>
  <c r="CZ4" i="1"/>
  <c r="CX4" i="1"/>
  <c r="CX5" i="1"/>
  <c r="CZ5" i="1"/>
  <c r="CZ7" i="1"/>
  <c r="CX7" i="1"/>
  <c r="CX8" i="1"/>
  <c r="CZ8" i="1"/>
  <c r="CX9" i="1"/>
  <c r="CZ9" i="1"/>
  <c r="CX12" i="1"/>
  <c r="CZ12" i="1"/>
  <c r="BJ5" i="1"/>
  <c r="BK5" i="1" s="1"/>
  <c r="BQ5" i="1" s="1"/>
  <c r="BZ5" i="1" s="1"/>
  <c r="BJ9" i="1"/>
  <c r="BK9" i="1" s="1"/>
  <c r="BE5" i="1"/>
  <c r="BJ6" i="1"/>
  <c r="BK6" i="1" s="1"/>
  <c r="BJ8" i="1"/>
  <c r="BK8" i="1" s="1"/>
  <c r="BJ7" i="1"/>
  <c r="BM7" i="1" s="1"/>
  <c r="BE6" i="1"/>
  <c r="BE8" i="1"/>
  <c r="BH8" i="1" s="1"/>
  <c r="BI8" i="1" s="1"/>
  <c r="BE11" i="1"/>
  <c r="BJ10" i="1"/>
  <c r="BL10" i="1" s="1"/>
  <c r="BF11" i="1"/>
  <c r="BE10" i="1"/>
  <c r="BE12" i="1"/>
  <c r="BE7" i="1"/>
  <c r="BH7" i="1" s="1"/>
  <c r="BI7" i="1" s="1"/>
  <c r="BJ12" i="1"/>
  <c r="BL12" i="1" s="1"/>
  <c r="BE9" i="1"/>
  <c r="BH9" i="1" s="1"/>
  <c r="BI9" i="1" s="1"/>
  <c r="BJ4" i="1"/>
  <c r="BM4" i="1" s="1"/>
  <c r="BF12" i="1"/>
  <c r="BF36" i="1" s="1"/>
  <c r="BF6" i="1"/>
  <c r="BF42" i="1" s="1"/>
  <c r="BE36" i="1" l="1"/>
  <c r="BE42" i="1"/>
  <c r="BE33" i="1"/>
  <c r="BE18" i="1"/>
  <c r="BF39" i="1"/>
  <c r="BF33" i="1"/>
  <c r="BE24" i="1"/>
  <c r="BF24" i="1"/>
  <c r="BV6" i="1"/>
  <c r="BH4" i="1"/>
  <c r="BI4" i="1" s="1"/>
  <c r="DA4" i="1"/>
  <c r="BN5" i="1"/>
  <c r="BW5" i="1" s="1"/>
  <c r="BV5" i="1"/>
  <c r="CE5" i="1" s="1"/>
  <c r="BE30" i="1"/>
  <c r="BQ11" i="1"/>
  <c r="BZ11" i="1" s="1"/>
  <c r="BV11" i="1"/>
  <c r="CE11" i="1" s="1"/>
  <c r="BQ8" i="1"/>
  <c r="BZ8" i="1" s="1"/>
  <c r="BV8" i="1"/>
  <c r="CE8" i="1" s="1"/>
  <c r="BU9" i="1"/>
  <c r="CD9" i="1" s="1"/>
  <c r="BV9" i="1"/>
  <c r="CE9" i="1" s="1"/>
  <c r="DA10" i="1"/>
  <c r="BH11" i="1"/>
  <c r="BI11" i="1" s="1"/>
  <c r="DA11" i="1"/>
  <c r="BE39" i="1"/>
  <c r="DA7" i="1"/>
  <c r="BH12" i="1"/>
  <c r="BI12" i="1" s="1"/>
  <c r="BH5" i="1"/>
  <c r="BI5" i="1" s="1"/>
  <c r="BH6" i="1"/>
  <c r="BI6" i="1" s="1"/>
  <c r="BH10" i="1"/>
  <c r="BI10" i="1" s="1"/>
  <c r="BM8" i="1"/>
  <c r="DA8" i="1"/>
  <c r="DA5" i="1"/>
  <c r="BE21" i="1"/>
  <c r="BN8" i="1"/>
  <c r="BW8" i="1" s="1"/>
  <c r="DA12" i="1"/>
  <c r="BN11" i="1"/>
  <c r="BW11" i="1" s="1"/>
  <c r="BQ9" i="1"/>
  <c r="BZ9" i="1" s="1"/>
  <c r="BL6" i="1"/>
  <c r="BO6" i="1" s="1"/>
  <c r="BX6" i="1" s="1"/>
  <c r="BL8" i="1"/>
  <c r="BS8" i="1" s="1"/>
  <c r="CB8" i="1" s="1"/>
  <c r="BU8" i="1"/>
  <c r="CD8" i="1" s="1"/>
  <c r="BR9" i="1"/>
  <c r="CA9" i="1" s="1"/>
  <c r="BM11" i="1"/>
  <c r="BK7" i="1"/>
  <c r="BR8" i="1"/>
  <c r="CA8" i="1" s="1"/>
  <c r="BT8" i="1"/>
  <c r="CC8" i="1" s="1"/>
  <c r="BR11" i="1"/>
  <c r="CA11" i="1" s="1"/>
  <c r="BM6" i="1"/>
  <c r="BL11" i="1"/>
  <c r="BP11" i="1" s="1"/>
  <c r="BY11" i="1" s="1"/>
  <c r="BT11" i="1"/>
  <c r="CC11" i="1" s="1"/>
  <c r="BL7" i="1"/>
  <c r="BS7" i="1" s="1"/>
  <c r="CB7" i="1" s="1"/>
  <c r="BK12" i="1"/>
  <c r="BK10" i="1"/>
  <c r="BL5" i="1"/>
  <c r="BO5" i="1" s="1"/>
  <c r="BX5" i="1" s="1"/>
  <c r="BN9" i="1"/>
  <c r="BW9" i="1" s="1"/>
  <c r="BL9" i="1"/>
  <c r="BO9" i="1" s="1"/>
  <c r="BX9" i="1" s="1"/>
  <c r="BT9" i="1"/>
  <c r="CC9" i="1" s="1"/>
  <c r="BM9" i="1"/>
  <c r="BL4" i="1"/>
  <c r="BS4" i="1" s="1"/>
  <c r="CB4" i="1" s="1"/>
  <c r="BK4" i="1"/>
  <c r="BT5" i="1"/>
  <c r="CC5" i="1" s="1"/>
  <c r="BU5" i="1"/>
  <c r="CD5" i="1" s="1"/>
  <c r="BM5" i="1"/>
  <c r="BM10" i="1"/>
  <c r="BR5" i="1"/>
  <c r="CA5" i="1" s="1"/>
  <c r="DA9" i="1"/>
  <c r="BE27" i="1"/>
  <c r="BM12" i="1"/>
  <c r="BP10" i="1"/>
  <c r="BY10" i="1" s="1"/>
  <c r="BS10" i="1"/>
  <c r="CB10" i="1" s="1"/>
  <c r="BO10" i="1"/>
  <c r="BX10" i="1" s="1"/>
  <c r="BP12" i="1"/>
  <c r="BY12" i="1" s="1"/>
  <c r="BS12" i="1"/>
  <c r="CB12" i="1" s="1"/>
  <c r="BO12" i="1"/>
  <c r="BX12" i="1" s="1"/>
  <c r="BT6" i="1"/>
  <c r="CC6" i="1" s="1"/>
  <c r="BQ6" i="1"/>
  <c r="BZ6" i="1" s="1"/>
  <c r="BU6" i="1"/>
  <c r="CD6" i="1" s="1"/>
  <c r="BN6" i="1"/>
  <c r="BW6" i="1" s="1"/>
  <c r="CE6" i="1"/>
  <c r="BR6" i="1"/>
  <c r="CA6" i="1" s="1"/>
  <c r="BP6" i="1" l="1"/>
  <c r="BY6" i="1" s="1"/>
  <c r="BT10" i="1"/>
  <c r="CC10" i="1" s="1"/>
  <c r="BV10" i="1"/>
  <c r="CE10" i="1" s="1"/>
  <c r="BQ4" i="1"/>
  <c r="BZ4" i="1" s="1"/>
  <c r="BV4" i="1"/>
  <c r="CE4" i="1" s="1"/>
  <c r="BU12" i="1"/>
  <c r="CD12" i="1" s="1"/>
  <c r="BV12" i="1"/>
  <c r="CE12" i="1" s="1"/>
  <c r="BV7" i="1"/>
  <c r="CE7" i="1" s="1"/>
  <c r="BO8" i="1"/>
  <c r="BX8" i="1" s="1"/>
  <c r="BN10" i="1"/>
  <c r="BW10" i="1" s="1"/>
  <c r="BU10" i="1"/>
  <c r="CD10" i="1" s="1"/>
  <c r="BS6" i="1"/>
  <c r="CB6" i="1" s="1"/>
  <c r="BO4" i="1"/>
  <c r="BX4" i="1" s="1"/>
  <c r="BP4" i="1"/>
  <c r="BY4" i="1" s="1"/>
  <c r="BP8" i="1"/>
  <c r="BY8" i="1" s="1"/>
  <c r="BT7" i="1"/>
  <c r="CC7" i="1" s="1"/>
  <c r="BN12" i="1"/>
  <c r="BW12" i="1" s="1"/>
  <c r="BR12" i="1"/>
  <c r="CA12" i="1" s="1"/>
  <c r="BS5" i="1"/>
  <c r="CB5" i="1" s="1"/>
  <c r="BQ12" i="1"/>
  <c r="BZ12" i="1" s="1"/>
  <c r="BU7" i="1"/>
  <c r="CD7" i="1" s="1"/>
  <c r="BR10" i="1"/>
  <c r="CA10" i="1" s="1"/>
  <c r="BT12" i="1"/>
  <c r="CC12" i="1" s="1"/>
  <c r="BQ10" i="1"/>
  <c r="BZ10" i="1" s="1"/>
  <c r="BP9" i="1"/>
  <c r="BY9" i="1" s="1"/>
  <c r="BR4" i="1"/>
  <c r="CA4" i="1" s="1"/>
  <c r="BO7" i="1"/>
  <c r="BX7" i="1" s="1"/>
  <c r="BQ7" i="1"/>
  <c r="BZ7" i="1" s="1"/>
  <c r="BR7" i="1"/>
  <c r="CA7" i="1" s="1"/>
  <c r="BN7" i="1"/>
  <c r="BW7" i="1" s="1"/>
  <c r="BP5" i="1"/>
  <c r="BY5" i="1" s="1"/>
  <c r="BO11" i="1"/>
  <c r="BX11" i="1" s="1"/>
  <c r="BS11" i="1"/>
  <c r="CB11" i="1" s="1"/>
  <c r="BP7" i="1"/>
  <c r="BY7" i="1" s="1"/>
  <c r="BT4" i="1"/>
  <c r="CC4" i="1" s="1"/>
  <c r="BU4" i="1"/>
  <c r="CD4" i="1" s="1"/>
  <c r="BN4" i="1"/>
  <c r="BW4" i="1" s="1"/>
  <c r="BS9" i="1"/>
  <c r="CB9" i="1" s="1"/>
  <c r="CF6" i="1" l="1"/>
  <c r="CH6" i="1" s="1"/>
  <c r="CI6" i="1" s="1"/>
  <c r="CF8" i="1"/>
  <c r="CH8" i="1" s="1"/>
  <c r="CI8" i="1" s="1"/>
  <c r="CF10" i="1"/>
  <c r="CH10" i="1" s="1"/>
  <c r="CI10" i="1" s="1"/>
  <c r="CF5" i="1"/>
  <c r="CH5" i="1" s="1"/>
  <c r="CI5" i="1" s="1"/>
  <c r="CF12" i="1"/>
  <c r="CH12" i="1" s="1"/>
  <c r="CI12" i="1" s="1"/>
  <c r="CF4" i="1"/>
  <c r="CH4" i="1" s="1"/>
  <c r="CI4" i="1" s="1"/>
  <c r="CF9" i="1"/>
  <c r="CH9" i="1" s="1"/>
  <c r="CI9" i="1" s="1"/>
  <c r="CF7" i="1"/>
  <c r="CH7" i="1" s="1"/>
  <c r="CI7" i="1" s="1"/>
  <c r="CF11" i="1"/>
  <c r="CH11" i="1" s="1"/>
  <c r="CI11" i="1" s="1"/>
</calcChain>
</file>

<file path=xl/comments1.xml><?xml version="1.0" encoding="utf-8"?>
<comments xmlns="http://schemas.openxmlformats.org/spreadsheetml/2006/main">
  <authors>
    <author>rvogt</author>
    <author/>
  </authors>
  <commentList>
    <comment ref="DC2" authorId="0">
      <text>
        <r>
          <rPr>
            <b/>
            <sz val="8"/>
            <color indexed="81"/>
            <rFont val="Tahoma"/>
            <family val="2"/>
          </rPr>
          <t>rvogt:</t>
        </r>
        <r>
          <rPr>
            <sz val="8"/>
            <color indexed="81"/>
            <rFont val="Tahoma"/>
            <family val="2"/>
          </rPr>
          <t xml:space="preserve">
Should be between 1,5 (in soil) and 2,42 (in air)</t>
        </r>
      </text>
    </comment>
    <comment ref="D3" authorId="1">
      <text>
        <r>
          <rPr>
            <b/>
            <sz val="9"/>
            <color indexed="8"/>
            <rFont val="Arial"/>
            <family val="2"/>
          </rPr>
          <t xml:space="preserve">Christian Wilhelm Mohr:
</t>
        </r>
        <r>
          <rPr>
            <sz val="9"/>
            <color indexed="8"/>
            <rFont val="Arial"/>
            <family val="2"/>
          </rPr>
          <t>Write date time in the form mm/dd/yyyy hh:mm:ss</t>
        </r>
      </text>
    </comment>
  </commentList>
</comments>
</file>

<file path=xl/comments2.xml><?xml version="1.0" encoding="utf-8"?>
<comments xmlns="http://schemas.openxmlformats.org/spreadsheetml/2006/main">
  <authors>
    <author>rvogt</author>
    <author/>
    <author>Rolf David Vogt</author>
  </authors>
  <commentList>
    <comment ref="AF2" authorId="0">
      <text>
        <r>
          <rPr>
            <b/>
            <sz val="8"/>
            <color indexed="81"/>
            <rFont val="Tahoma"/>
            <family val="2"/>
          </rPr>
          <t>rvogt:</t>
        </r>
        <r>
          <rPr>
            <sz val="8"/>
            <color indexed="81"/>
            <rFont val="Tahoma"/>
            <family val="2"/>
          </rPr>
          <t xml:space="preserve">
Should be between 1,5 (in soil) and 2,42 (in air)</t>
        </r>
      </text>
    </comment>
    <comment ref="E3" authorId="1">
      <text>
        <r>
          <rPr>
            <b/>
            <sz val="9"/>
            <color indexed="8"/>
            <rFont val="Arial"/>
            <family val="2"/>
          </rPr>
          <t xml:space="preserve">Christian Wilhelm Mohr:
</t>
        </r>
        <r>
          <rPr>
            <sz val="9"/>
            <color indexed="8"/>
            <rFont val="Arial"/>
            <family val="2"/>
          </rPr>
          <t>Write date time in the form mm/dd/yyyy hh:mm:ss</t>
        </r>
      </text>
    </comment>
    <comment ref="AC19" authorId="2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-0.61</t>
        </r>
      </text>
    </comment>
    <comment ref="AD19" authorId="2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-0.12</t>
        </r>
      </text>
    </comment>
    <comment ref="AC24" authorId="2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-0.02</t>
        </r>
      </text>
    </comment>
  </commentList>
</comments>
</file>

<file path=xl/connections.xml><?xml version="1.0" encoding="utf-8"?>
<connections xmlns="http://schemas.openxmlformats.org/spreadsheetml/2006/main">
  <connection id="1" name="Module 19 H2012.csv" type="6" refreshedVersion="0" background="1" saveData="1">
    <textPr fileType="mac" sourceFile="MAC_WD_HDD:Users:CWM:Documents:UiO:Modules:Module 19:Fall 2012:Module 19 H2012.csv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<sst xmlns="http://schemas.openxmlformats.org/spreadsheetml/2006/main" count="640" uniqueCount="192">
  <si>
    <t>River</t>
  </si>
  <si>
    <t>Al</t>
  </si>
  <si>
    <t>Fe</t>
  </si>
  <si>
    <t>Bikarbonat likevekten</t>
  </si>
  <si>
    <t>Oliver</t>
  </si>
  <si>
    <t xml:space="preserve">Oliver </t>
  </si>
  <si>
    <t>-log pCO2</t>
  </si>
  <si>
    <t>CO2</t>
  </si>
  <si>
    <t>Kh</t>
  </si>
  <si>
    <t>[H2CO3*]</t>
  </si>
  <si>
    <t>K1</t>
  </si>
  <si>
    <t>[HCO3-]</t>
  </si>
  <si>
    <t>K2</t>
  </si>
  <si>
    <t>[CO3 2-]</t>
  </si>
  <si>
    <t>eq DIC</t>
  </si>
  <si>
    <t>Org. charge</t>
  </si>
  <si>
    <t>at pH 4.5</t>
  </si>
  <si>
    <t>M</t>
  </si>
  <si>
    <t>uM</t>
  </si>
  <si>
    <t>ueq/L</t>
  </si>
  <si>
    <t>IC</t>
  </si>
  <si>
    <t>Filtered water</t>
  </si>
  <si>
    <t>Lake</t>
  </si>
  <si>
    <t>PO43-</t>
  </si>
  <si>
    <t>f Ali</t>
  </si>
  <si>
    <t>mol/cm^3</t>
  </si>
  <si>
    <t>S/cm</t>
  </si>
  <si>
    <r>
      <t>m</t>
    </r>
    <r>
      <rPr>
        <b/>
        <i/>
        <sz val="10"/>
        <rFont val="Arial"/>
        <family val="2"/>
      </rPr>
      <t xml:space="preserve">S 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-1</t>
    </r>
  </si>
  <si>
    <t>DOC</t>
  </si>
  <si>
    <t>DOC</t>
    <phoneticPr fontId="19" type="noConversion"/>
  </si>
  <si>
    <t>mg C/L</t>
  </si>
  <si>
    <t>UV</t>
  </si>
  <si>
    <t>Filt-tot</t>
  </si>
  <si>
    <t>DOM-P+PO4</t>
  </si>
  <si>
    <t>Free PO4</t>
  </si>
  <si>
    <t>Temp.</t>
  </si>
  <si>
    <r>
      <t>OD</t>
    </r>
    <r>
      <rPr>
        <b/>
        <vertAlign val="subscript"/>
        <sz val="9"/>
        <rFont val="Arial"/>
        <family val="2"/>
      </rPr>
      <t>254nm</t>
    </r>
  </si>
  <si>
    <r>
      <t>OD</t>
    </r>
    <r>
      <rPr>
        <b/>
        <vertAlign val="subscript"/>
        <sz val="9"/>
        <rFont val="Arial"/>
        <family val="2"/>
      </rPr>
      <t>400nm</t>
    </r>
  </si>
  <si>
    <r>
      <t>Ca</t>
    </r>
    <r>
      <rPr>
        <b/>
        <vertAlign val="superscript"/>
        <sz val="10"/>
        <rFont val="Arial"/>
        <family val="2"/>
      </rPr>
      <t>2+</t>
    </r>
  </si>
  <si>
    <r>
      <t>Mg</t>
    </r>
    <r>
      <rPr>
        <b/>
        <vertAlign val="superscript"/>
        <sz val="10"/>
        <rFont val="Arial"/>
        <family val="2"/>
      </rPr>
      <t>2+</t>
    </r>
  </si>
  <si>
    <r>
      <t>Na</t>
    </r>
    <r>
      <rPr>
        <b/>
        <vertAlign val="superscript"/>
        <sz val="10"/>
        <rFont val="Arial"/>
        <family val="2"/>
      </rPr>
      <t>+</t>
    </r>
  </si>
  <si>
    <r>
      <t>K</t>
    </r>
    <r>
      <rPr>
        <b/>
        <vertAlign val="superscript"/>
        <sz val="10"/>
        <rFont val="Arial"/>
        <family val="2"/>
      </rPr>
      <t>+</t>
    </r>
  </si>
  <si>
    <r>
      <t>Cl</t>
    </r>
    <r>
      <rPr>
        <b/>
        <vertAlign val="superscript"/>
        <sz val="10"/>
        <rFont val="Arial"/>
        <family val="2"/>
      </rPr>
      <t>-</t>
    </r>
  </si>
  <si>
    <t>{SO4 2-}</t>
  </si>
  <si>
    <t>{Cl-}</t>
  </si>
  <si>
    <t>{NO3 -}</t>
  </si>
  <si>
    <t>{HCO3 -}</t>
  </si>
  <si>
    <t>cond. H+</t>
  </si>
  <si>
    <t>cond. Ca2+</t>
  </si>
  <si>
    <t>cond. Mg2+</t>
  </si>
  <si>
    <t>cond. Na+</t>
  </si>
  <si>
    <t>Cond. Deviation</t>
  </si>
  <si>
    <t>ºC</t>
  </si>
  <si>
    <r>
      <t>Abs cm</t>
    </r>
    <r>
      <rPr>
        <b/>
        <vertAlign val="superscript"/>
        <sz val="10"/>
        <rFont val="Arial"/>
        <family val="2"/>
      </rPr>
      <t>-1</t>
    </r>
  </si>
  <si>
    <r>
      <t>mg L</t>
    </r>
    <r>
      <rPr>
        <b/>
        <vertAlign val="superscript"/>
        <sz val="10"/>
        <rFont val="Arial"/>
        <family val="2"/>
      </rPr>
      <t>-1</t>
    </r>
  </si>
  <si>
    <t>%</t>
  </si>
  <si>
    <t>Monovalent</t>
  </si>
  <si>
    <t>Divalent</t>
  </si>
  <si>
    <t xml:space="preserve">I </t>
  </si>
  <si>
    <r>
      <t>µg P L</t>
    </r>
    <r>
      <rPr>
        <b/>
        <vertAlign val="superscript"/>
        <sz val="10"/>
        <rFont val="Arial"/>
        <family val="2"/>
      </rPr>
      <t>-1</t>
    </r>
  </si>
  <si>
    <t>Colour</t>
  </si>
  <si>
    <t>pH corr.</t>
  </si>
  <si>
    <t>Data quality</t>
  </si>
  <si>
    <t>Log</t>
  </si>
  <si>
    <t xml:space="preserve">Plot </t>
  </si>
  <si>
    <t>Type</t>
  </si>
  <si>
    <t>Date/time</t>
  </si>
  <si>
    <t>Volume</t>
  </si>
  <si>
    <t>Alkalinity</t>
  </si>
  <si>
    <t>Sample</t>
  </si>
  <si>
    <t>Sampling</t>
  </si>
  <si>
    <t>If pH&gt;5.5</t>
  </si>
  <si>
    <t>Tot-F</t>
  </si>
  <si>
    <t>Number</t>
  </si>
  <si>
    <t>Letter</t>
  </si>
  <si>
    <t>dd.mm.yy hh:mm</t>
  </si>
  <si>
    <t>mL</t>
  </si>
  <si>
    <t xml:space="preserve">  pH</t>
  </si>
  <si>
    <r>
      <t>µeq L</t>
    </r>
    <r>
      <rPr>
        <b/>
        <vertAlign val="superscript"/>
        <sz val="10"/>
        <rFont val="Arial"/>
        <family val="2"/>
      </rPr>
      <t>-1</t>
    </r>
  </si>
  <si>
    <t>µM</t>
  </si>
  <si>
    <t>Ionic streangth</t>
  </si>
  <si>
    <t>f</t>
  </si>
  <si>
    <t>cond. K+</t>
  </si>
  <si>
    <t>cond. SO4 2-</t>
  </si>
  <si>
    <t>cond. Cl-</t>
  </si>
  <si>
    <t>cond. NO3 -</t>
  </si>
  <si>
    <t>cond.HCO3-</t>
  </si>
  <si>
    <t>Tot. cond.</t>
  </si>
  <si>
    <t>Measured</t>
  </si>
  <si>
    <t>Difference</t>
  </si>
  <si>
    <t>{H+}</t>
  </si>
  <si>
    <t>{Ca2+}</t>
  </si>
  <si>
    <t>{Mg2+}</t>
  </si>
  <si>
    <t>{Na+}</t>
  </si>
  <si>
    <t>{K+}</t>
  </si>
  <si>
    <t>H+</t>
  </si>
  <si>
    <t>IB</t>
  </si>
  <si>
    <r>
      <t>SO</t>
    </r>
    <r>
      <rPr>
        <b/>
        <vertAlign val="subscript"/>
        <sz val="10"/>
        <rFont val="Arial"/>
        <family val="2"/>
      </rPr>
      <t>4</t>
    </r>
    <r>
      <rPr>
        <b/>
        <vertAlign val="superscript"/>
        <sz val="10"/>
        <rFont val="Arial"/>
        <family val="2"/>
      </rPr>
      <t>2-</t>
    </r>
  </si>
  <si>
    <r>
      <t>NO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-</t>
    </r>
  </si>
  <si>
    <r>
      <t>mg SO4 L</t>
    </r>
    <r>
      <rPr>
        <b/>
        <vertAlign val="superscript"/>
        <sz val="10"/>
        <rFont val="Arial"/>
        <family val="2"/>
      </rPr>
      <t>-1</t>
    </r>
  </si>
  <si>
    <r>
      <t>mg NO3 L</t>
    </r>
    <r>
      <rPr>
        <b/>
        <vertAlign val="superscript"/>
        <sz val="10"/>
        <rFont val="Arial"/>
        <family val="2"/>
      </rPr>
      <t>-1</t>
    </r>
  </si>
  <si>
    <r>
      <t>Cond</t>
    </r>
    <r>
      <rPr>
        <b/>
        <vertAlign val="subscript"/>
        <sz val="11"/>
        <rFont val="Calibri"/>
        <family val="2"/>
        <scheme val="minor"/>
      </rPr>
      <t>25C</t>
    </r>
  </si>
  <si>
    <r>
      <t>µS.cm</t>
    </r>
    <r>
      <rPr>
        <b/>
        <vertAlign val="superscript"/>
        <sz val="11"/>
        <rFont val="Calibri"/>
        <family val="2"/>
        <scheme val="minor"/>
      </rPr>
      <t>-1</t>
    </r>
  </si>
  <si>
    <t>Akerselva</t>
  </si>
  <si>
    <t>Årungen</t>
  </si>
  <si>
    <t>Gjersjøen</t>
  </si>
  <si>
    <t>Kolbotntjernet</t>
  </si>
  <si>
    <t>Sværsvann</t>
  </si>
  <si>
    <t>Østensjøvann</t>
  </si>
  <si>
    <t>Lutvann</t>
  </si>
  <si>
    <t>Maridalsvannet</t>
  </si>
  <si>
    <t>Nesøytjernet</t>
  </si>
  <si>
    <r>
      <t>Br</t>
    </r>
    <r>
      <rPr>
        <b/>
        <vertAlign val="superscript"/>
        <sz val="10"/>
        <rFont val="Arial"/>
        <family val="2"/>
      </rPr>
      <t>-</t>
    </r>
  </si>
  <si>
    <t>DOP</t>
  </si>
  <si>
    <t>Mn</t>
  </si>
  <si>
    <t>ICP-OES</t>
  </si>
  <si>
    <r>
      <t>µg L</t>
    </r>
    <r>
      <rPr>
        <b/>
        <vertAlign val="superscript"/>
        <sz val="10"/>
        <rFont val="Arial"/>
        <family val="2"/>
      </rPr>
      <t>-1</t>
    </r>
  </si>
  <si>
    <t>Total 206Pb</t>
  </si>
  <si>
    <t>Total 207Pb</t>
  </si>
  <si>
    <t>Total 208Pb</t>
  </si>
  <si>
    <t>Total 206Pb/207Pb ratio</t>
  </si>
  <si>
    <t>Natural ratio = 1.090</t>
  </si>
  <si>
    <t>ICP-MS Total trace metals</t>
  </si>
  <si>
    <r>
      <t>µmol L</t>
    </r>
    <r>
      <rPr>
        <b/>
        <vertAlign val="superscript"/>
        <sz val="11"/>
        <rFont val="Arial"/>
        <family val="2"/>
      </rPr>
      <t>-1</t>
    </r>
  </si>
  <si>
    <t>Solbergvann</t>
  </si>
  <si>
    <t>Puttjern</t>
  </si>
  <si>
    <r>
      <t>OD</t>
    </r>
    <r>
      <rPr>
        <b/>
        <vertAlign val="subscript"/>
        <sz val="9"/>
        <rFont val="Arial"/>
        <family val="2"/>
      </rPr>
      <t>600nm</t>
    </r>
  </si>
  <si>
    <t>µg L-1</t>
  </si>
  <si>
    <t>Raw</t>
  </si>
  <si>
    <t>Tot-P</t>
  </si>
  <si>
    <t>sUVa</t>
  </si>
  <si>
    <t>SAR</t>
  </si>
  <si>
    <t>PP</t>
  </si>
  <si>
    <t>Org</t>
  </si>
  <si>
    <t>HCO3-</t>
  </si>
  <si>
    <t>HCO3</t>
  </si>
  <si>
    <t>Ca2+</t>
  </si>
  <si>
    <t>Mg2+</t>
  </si>
  <si>
    <t>Na+</t>
  </si>
  <si>
    <t>K+</t>
  </si>
  <si>
    <t>SO42-</t>
  </si>
  <si>
    <t>NO3-</t>
  </si>
  <si>
    <t>Cl-</t>
  </si>
  <si>
    <t>Partikler</t>
  </si>
  <si>
    <t>Ustaoset</t>
  </si>
  <si>
    <t>Kolbotntjern</t>
  </si>
  <si>
    <t>Solbergvannet</t>
  </si>
  <si>
    <r>
      <t>µg PO4 L</t>
    </r>
    <r>
      <rPr>
        <b/>
        <vertAlign val="superscript"/>
        <sz val="10"/>
        <rFont val="Arial"/>
        <family val="2"/>
      </rPr>
      <t>-1</t>
    </r>
  </si>
  <si>
    <t>Particle</t>
  </si>
  <si>
    <t>DOC</t>
    <phoneticPr fontId="19" type="noConversion"/>
  </si>
  <si>
    <t>Bogstadvannet</t>
  </si>
  <si>
    <t>Lysakerelva</t>
  </si>
  <si>
    <t>17.10.13 14:10</t>
  </si>
  <si>
    <t>17.10.13 11:35</t>
  </si>
  <si>
    <t>17.10.13 11:50</t>
  </si>
  <si>
    <t>17.10.13 12:15</t>
  </si>
  <si>
    <t>17.10.13 12:40</t>
  </si>
  <si>
    <t>17.10.13 12:55</t>
  </si>
  <si>
    <t>17.10.13 13:40</t>
  </si>
  <si>
    <t>24.09.14 12:34</t>
  </si>
  <si>
    <t>24.09.14 13:08</t>
  </si>
  <si>
    <t>24.09.14 11:39</t>
  </si>
  <si>
    <t>24.09.14 12:00</t>
  </si>
  <si>
    <t>24.09.14 12:17</t>
  </si>
  <si>
    <t>24.09.14 10:49</t>
  </si>
  <si>
    <t>24.09.14 14:50</t>
  </si>
  <si>
    <t>23.09.14 17:00</t>
  </si>
  <si>
    <t>22.09.14 15:30</t>
  </si>
  <si>
    <t>Latitude</t>
  </si>
  <si>
    <t>Longitude</t>
  </si>
  <si>
    <t>59°49'04</t>
  </si>
  <si>
    <t>59°45'294</t>
  </si>
  <si>
    <t>59°42'050</t>
  </si>
  <si>
    <t>59°49'041</t>
  </si>
  <si>
    <t>10°53'22</t>
  </si>
  <si>
    <t>10°46'439</t>
  </si>
  <si>
    <t>10°44'19</t>
  </si>
  <si>
    <t>10°53'225</t>
  </si>
  <si>
    <t>59°55'19</t>
  </si>
  <si>
    <t>10°52'62</t>
  </si>
  <si>
    <t>59°58'09</t>
  </si>
  <si>
    <t>10°47'06</t>
  </si>
  <si>
    <t>59°54'79</t>
  </si>
  <si>
    <t>10°45'44</t>
  </si>
  <si>
    <t>Østensjøvannet</t>
  </si>
  <si>
    <t>59°31'54</t>
  </si>
  <si>
    <t>10°31'12</t>
  </si>
  <si>
    <t>Kolbotnvann</t>
  </si>
  <si>
    <t>59°48'35</t>
  </si>
  <si>
    <t>10°47'58</t>
  </si>
  <si>
    <r>
      <t>µeqv L</t>
    </r>
    <r>
      <rPr>
        <b/>
        <vertAlign val="superscript"/>
        <sz val="11"/>
        <rFont val="Arial"/>
        <family val="2"/>
      </rPr>
      <t>-1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</si>
  <si>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vertAlign val="superscript"/>
        <sz val="10"/>
        <rFont val="Arial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</si>
</sst>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dd\.mm\.yy\ hh:mm"/>
    <numFmt numFmtId="167" formatCode="0.0E+00"/>
    <numFmt numFmtId="168" formatCode="dd/mm/yy\ h:mm;@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u/>
      <sz val="10"/>
      <color theme="11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Arial"/>
      <family val="2"/>
    </font>
    <font>
      <sz val="12"/>
      <name val="Arial"/>
    </font>
    <font>
      <b/>
      <sz val="10"/>
      <color rgb="FFC00000"/>
      <name val="Arial"/>
      <family val="2"/>
    </font>
    <font>
      <sz val="10"/>
      <color theme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39">
    <xf numFmtId="0" fontId="0" fillId="0" borderId="0"/>
    <xf numFmtId="0" fontId="32" fillId="0" borderId="0"/>
    <xf numFmtId="0" fontId="34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>
      <alignment vertical="top" wrapText="1"/>
      <protection locked="0"/>
    </xf>
    <xf numFmtId="0" fontId="5" fillId="0" borderId="0">
      <alignment vertical="top" wrapText="1"/>
      <protection locked="0"/>
    </xf>
    <xf numFmtId="9" fontId="7" fillId="0" borderId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>
      <alignment vertical="top" wrapText="1"/>
      <protection locked="0"/>
    </xf>
    <xf numFmtId="0" fontId="1" fillId="0" borderId="0">
      <alignment vertical="top" wrapText="1"/>
      <protection locked="0"/>
    </xf>
    <xf numFmtId="0" fontId="1" fillId="0" borderId="0"/>
    <xf numFmtId="9" fontId="7" fillId="0" borderId="0" applyFont="0" applyFill="0" applyBorder="0" applyAlignment="0" applyProtection="0"/>
  </cellStyleXfs>
  <cellXfs count="327">
    <xf numFmtId="0" fontId="0" fillId="0" borderId="0" xfId="0"/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 applyProtection="1">
      <alignment horizontal="center"/>
    </xf>
    <xf numFmtId="165" fontId="8" fillId="0" borderId="0" xfId="0" applyNumberFormat="1" applyFont="1" applyFill="1" applyAlignment="1" applyProtection="1">
      <alignment horizontal="center"/>
    </xf>
    <xf numFmtId="1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 applyProtection="1">
      <alignment horizontal="center"/>
    </xf>
    <xf numFmtId="2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0" fillId="0" borderId="0" xfId="0" applyNumberFormat="1" applyFill="1" applyAlignment="1" applyProtection="1">
      <alignment horizontal="center"/>
    </xf>
    <xf numFmtId="0" fontId="8" fillId="0" borderId="0" xfId="0" applyFont="1" applyFill="1"/>
    <xf numFmtId="165" fontId="12" fillId="0" borderId="0" xfId="0" applyNumberFormat="1" applyFont="1" applyFill="1" applyAlignment="1" applyProtection="1">
      <alignment horizontal="center"/>
    </xf>
    <xf numFmtId="165" fontId="8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left"/>
    </xf>
    <xf numFmtId="165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2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" fontId="9" fillId="2" borderId="1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horizontal="center"/>
    </xf>
    <xf numFmtId="1" fontId="0" fillId="0" borderId="3" xfId="0" applyNumberFormat="1" applyFill="1" applyBorder="1" applyAlignment="1">
      <alignment horizontal="center"/>
    </xf>
    <xf numFmtId="2" fontId="0" fillId="0" borderId="0" xfId="0" applyNumberFormat="1"/>
    <xf numFmtId="2" fontId="20" fillId="0" borderId="0" xfId="0" applyNumberFormat="1" applyFont="1" applyFill="1" applyAlignment="1" applyProtection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/>
    </xf>
    <xf numFmtId="15" fontId="8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5" fontId="0" fillId="0" borderId="3" xfId="0" applyNumberFormat="1" applyFill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</xf>
    <xf numFmtId="167" fontId="0" fillId="3" borderId="1" xfId="0" applyNumberFormat="1" applyFill="1" applyBorder="1" applyAlignment="1" applyProtection="1">
      <alignment horizontal="center"/>
    </xf>
    <xf numFmtId="0" fontId="8" fillId="0" borderId="0" xfId="0" applyFont="1" applyFill="1" applyBorder="1" applyAlignment="1"/>
    <xf numFmtId="167" fontId="8" fillId="0" borderId="0" xfId="0" applyNumberFormat="1" applyFont="1" applyFill="1" applyBorder="1" applyAlignment="1"/>
    <xf numFmtId="2" fontId="28" fillId="3" borderId="0" xfId="0" applyNumberFormat="1" applyFont="1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4" fontId="8" fillId="0" borderId="0" xfId="0" applyNumberFormat="1" applyFont="1" applyFill="1" applyBorder="1" applyAlignment="1"/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164" fontId="27" fillId="0" borderId="0" xfId="0" applyNumberFormat="1" applyFont="1" applyBorder="1"/>
    <xf numFmtId="1" fontId="0" fillId="0" borderId="0" xfId="0" applyNumberFormat="1" applyFill="1"/>
    <xf numFmtId="164" fontId="29" fillId="0" borderId="0" xfId="0" applyNumberFormat="1" applyFont="1" applyFill="1" applyBorder="1" applyAlignment="1" applyProtection="1">
      <alignment horizontal="center"/>
    </xf>
    <xf numFmtId="2" fontId="30" fillId="0" borderId="0" xfId="0" applyNumberFormat="1" applyFont="1" applyBorder="1" applyAlignment="1">
      <alignment horizontal="center"/>
    </xf>
    <xf numFmtId="165" fontId="8" fillId="0" borderId="0" xfId="0" applyNumberFormat="1" applyFont="1" applyFill="1" applyAlignment="1" applyProtection="1">
      <alignment horizontal="center"/>
    </xf>
    <xf numFmtId="165" fontId="0" fillId="0" borderId="0" xfId="0" applyNumberFormat="1" applyAlignment="1">
      <alignment horizontal="center"/>
    </xf>
    <xf numFmtId="165" fontId="8" fillId="0" borderId="0" xfId="0" applyNumberFormat="1" applyFont="1" applyFill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2" fontId="33" fillId="0" borderId="0" xfId="0" applyNumberFormat="1" applyFont="1" applyBorder="1" applyAlignment="1">
      <alignment horizontal="center"/>
    </xf>
    <xf numFmtId="165" fontId="31" fillId="0" borderId="0" xfId="0" applyNumberFormat="1" applyFont="1" applyAlignment="1">
      <alignment horizontal="center"/>
    </xf>
    <xf numFmtId="165" fontId="31" fillId="0" borderId="0" xfId="0" applyNumberFormat="1" applyFont="1" applyFill="1" applyAlignment="1" applyProtection="1">
      <alignment horizontal="center"/>
    </xf>
    <xf numFmtId="165" fontId="37" fillId="0" borderId="0" xfId="0" applyNumberFormat="1" applyFont="1" applyAlignment="1">
      <alignment horizontal="center"/>
    </xf>
    <xf numFmtId="164" fontId="35" fillId="0" borderId="0" xfId="0" applyNumberFormat="1" applyFont="1" applyFill="1" applyAlignment="1" applyProtection="1">
      <alignment horizontal="center"/>
    </xf>
    <xf numFmtId="164" fontId="35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164" fontId="31" fillId="0" borderId="0" xfId="0" applyNumberFormat="1" applyFont="1" applyFill="1" applyAlignment="1" applyProtection="1">
      <alignment horizontal="center"/>
    </xf>
    <xf numFmtId="164" fontId="31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0" fontId="0" fillId="0" borderId="0" xfId="0"/>
    <xf numFmtId="2" fontId="0" fillId="0" borderId="0" xfId="4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7" fillId="4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2" fontId="8" fillId="0" borderId="4" xfId="0" applyNumberFormat="1" applyFont="1" applyFill="1" applyBorder="1" applyAlignment="1" applyProtection="1">
      <alignment horizontal="center"/>
    </xf>
    <xf numFmtId="2" fontId="8" fillId="0" borderId="5" xfId="0" applyNumberFormat="1" applyFont="1" applyFill="1" applyBorder="1" applyAlignment="1" applyProtection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164" fontId="8" fillId="0" borderId="5" xfId="0" applyNumberFormat="1" applyFont="1" applyFill="1" applyBorder="1" applyAlignment="1" applyProtection="1">
      <alignment horizontal="center"/>
    </xf>
    <xf numFmtId="164" fontId="12" fillId="0" borderId="5" xfId="0" applyNumberFormat="1" applyFont="1" applyFill="1" applyBorder="1" applyAlignment="1" applyProtection="1">
      <alignment horizontal="center"/>
    </xf>
    <xf numFmtId="164" fontId="8" fillId="0" borderId="5" xfId="0" applyNumberFormat="1" applyFont="1" applyBorder="1" applyAlignment="1">
      <alignment horizontal="center"/>
    </xf>
    <xf numFmtId="2" fontId="3" fillId="0" borderId="5" xfId="4" applyNumberFormat="1" applyFont="1" applyBorder="1" applyAlignment="1">
      <alignment horizontal="center" vertical="center"/>
    </xf>
    <xf numFmtId="2" fontId="30" fillId="4" borderId="5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64" fontId="29" fillId="0" borderId="4" xfId="0" applyNumberFormat="1" applyFont="1" applyFill="1" applyBorder="1" applyAlignment="1" applyProtection="1">
      <alignment horizontal="center"/>
    </xf>
    <xf numFmtId="164" fontId="24" fillId="0" borderId="4" xfId="0" applyNumberFormat="1" applyFont="1" applyFill="1" applyBorder="1" applyAlignment="1" applyProtection="1">
      <alignment horizontal="center"/>
    </xf>
    <xf numFmtId="1" fontId="0" fillId="3" borderId="0" xfId="0" applyNumberFormat="1" applyFill="1" applyBorder="1" applyAlignment="1">
      <alignment horizontal="center" vertical="center"/>
    </xf>
    <xf numFmtId="167" fontId="0" fillId="0" borderId="0" xfId="0" applyNumberFormat="1" applyFont="1" applyFill="1" applyAlignment="1" applyProtection="1">
      <alignment horizontal="left"/>
    </xf>
    <xf numFmtId="167" fontId="0" fillId="0" borderId="0" xfId="0" applyNumberFormat="1" applyFill="1" applyAlignment="1" applyProtection="1">
      <alignment horizontal="center"/>
    </xf>
    <xf numFmtId="167" fontId="0" fillId="2" borderId="1" xfId="0" applyNumberFormat="1" applyFill="1" applyBorder="1" applyAlignment="1" applyProtection="1">
      <alignment horizontal="center"/>
    </xf>
    <xf numFmtId="167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67" fontId="15" fillId="0" borderId="0" xfId="0" applyNumberFormat="1" applyFont="1" applyFill="1" applyAlignment="1" applyProtection="1">
      <alignment horizontal="center"/>
    </xf>
    <xf numFmtId="164" fontId="12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0" fillId="0" borderId="0" xfId="0" applyNumberFormat="1"/>
    <xf numFmtId="2" fontId="24" fillId="0" borderId="0" xfId="0" applyNumberFormat="1" applyFont="1" applyFill="1" applyBorder="1" applyAlignment="1" applyProtection="1">
      <alignment horizontal="center"/>
    </xf>
    <xf numFmtId="2" fontId="40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165" fontId="8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/>
    <xf numFmtId="2" fontId="0" fillId="0" borderId="0" xfId="0" applyNumberFormat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26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44" fillId="0" borderId="0" xfId="0" applyNumberFormat="1" applyFont="1"/>
    <xf numFmtId="0" fontId="0" fillId="0" borderId="0" xfId="0" applyBorder="1"/>
    <xf numFmtId="2" fontId="0" fillId="0" borderId="0" xfId="0" applyNumberFormat="1" applyFill="1" applyBorder="1" applyAlignment="1">
      <alignment horizontal="center"/>
    </xf>
    <xf numFmtId="1" fontId="10" fillId="2" borderId="1" xfId="0" applyNumberFormat="1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>
      <alignment horizontal="center"/>
    </xf>
    <xf numFmtId="0" fontId="0" fillId="0" borderId="0" xfId="0" applyFill="1"/>
    <xf numFmtId="1" fontId="0" fillId="0" borderId="1" xfId="0" applyNumberFormat="1" applyFill="1" applyBorder="1" applyAlignment="1" applyProtection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2" fontId="8" fillId="0" borderId="4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2" fontId="45" fillId="0" borderId="0" xfId="0" applyNumberFormat="1" applyFont="1" applyFill="1" applyBorder="1" applyAlignment="1" applyProtection="1"/>
    <xf numFmtId="1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165" fontId="46" fillId="0" borderId="0" xfId="0" applyNumberFormat="1" applyFont="1"/>
    <xf numFmtId="0" fontId="0" fillId="0" borderId="0" xfId="0" applyFont="1" applyFill="1" applyBorder="1" applyAlignment="1"/>
    <xf numFmtId="1" fontId="0" fillId="0" borderId="0" xfId="0" applyNumberFormat="1" applyFont="1" applyFill="1" applyBorder="1" applyAlignment="1"/>
    <xf numFmtId="2" fontId="9" fillId="3" borderId="0" xfId="0" applyNumberFormat="1" applyFont="1" applyFill="1" applyBorder="1" applyAlignment="1">
      <alignment vertical="center"/>
    </xf>
    <xf numFmtId="164" fontId="27" fillId="3" borderId="0" xfId="0" applyNumberFormat="1" applyFont="1" applyFill="1" applyBorder="1" applyAlignment="1"/>
    <xf numFmtId="1" fontId="9" fillId="2" borderId="0" xfId="0" applyNumberFormat="1" applyFont="1" applyFill="1" applyBorder="1" applyAlignment="1" applyProtection="1"/>
    <xf numFmtId="165" fontId="0" fillId="0" borderId="0" xfId="0" applyNumberFormat="1" applyFont="1" applyBorder="1" applyAlignment="1"/>
    <xf numFmtId="2" fontId="33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3" fillId="0" borderId="0" xfId="4" applyNumberFormat="1" applyFont="1" applyFill="1" applyBorder="1" applyAlignment="1">
      <alignment horizontal="center" vertical="center"/>
    </xf>
    <xf numFmtId="2" fontId="3" fillId="0" borderId="0" xfId="94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/>
    </xf>
    <xf numFmtId="2" fontId="0" fillId="0" borderId="0" xfId="4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15" fontId="8" fillId="0" borderId="0" xfId="0" applyNumberFormat="1" applyFont="1" applyFill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31" fillId="0" borderId="0" xfId="0" applyNumberFormat="1" applyFont="1" applyFill="1" applyBorder="1" applyAlignment="1" applyProtection="1">
      <alignment horizontal="center"/>
    </xf>
    <xf numFmtId="164" fontId="35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 applyProtection="1">
      <alignment horizontal="left"/>
    </xf>
    <xf numFmtId="164" fontId="31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5" fontId="37" fillId="0" borderId="0" xfId="0" applyNumberFormat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15" fontId="0" fillId="0" borderId="0" xfId="0" applyNumberFormat="1" applyFill="1" applyBorder="1" applyAlignment="1">
      <alignment horizontal="left"/>
    </xf>
    <xf numFmtId="0" fontId="0" fillId="0" borderId="0" xfId="0" applyFont="1" applyBorder="1" applyAlignment="1"/>
    <xf numFmtId="15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2" fontId="48" fillId="0" borderId="0" xfId="0" applyNumberFormat="1" applyFont="1" applyBorder="1" applyAlignment="1"/>
    <xf numFmtId="1" fontId="0" fillId="0" borderId="0" xfId="0" applyNumberFormat="1" applyFont="1" applyBorder="1" applyAlignment="1"/>
    <xf numFmtId="164" fontId="48" fillId="0" borderId="0" xfId="0" applyNumberFormat="1" applyFont="1" applyBorder="1" applyAlignment="1"/>
    <xf numFmtId="164" fontId="0" fillId="0" borderId="0" xfId="0" applyNumberFormat="1" applyFont="1" applyBorder="1" applyAlignment="1"/>
    <xf numFmtId="2" fontId="49" fillId="0" borderId="0" xfId="4" applyNumberFormat="1" applyFont="1" applyBorder="1" applyAlignment="1">
      <alignment vertical="center"/>
    </xf>
    <xf numFmtId="2" fontId="0" fillId="0" borderId="0" xfId="0" applyNumberFormat="1" applyFont="1" applyBorder="1" applyAlignment="1"/>
    <xf numFmtId="164" fontId="50" fillId="0" borderId="0" xfId="0" applyNumberFormat="1" applyFont="1" applyFill="1" applyBorder="1" applyAlignment="1" applyProtection="1"/>
    <xf numFmtId="164" fontId="0" fillId="6" borderId="0" xfId="0" applyNumberFormat="1" applyFont="1" applyFill="1" applyBorder="1" applyAlignment="1" applyProtection="1"/>
    <xf numFmtId="167" fontId="0" fillId="3" borderId="0" xfId="0" applyNumberFormat="1" applyFont="1" applyFill="1" applyBorder="1" applyAlignment="1">
      <alignment vertical="center"/>
    </xf>
    <xf numFmtId="1" fontId="0" fillId="3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 applyProtection="1"/>
    <xf numFmtId="2" fontId="0" fillId="2" borderId="0" xfId="0" applyNumberFormat="1" applyFont="1" applyFill="1" applyBorder="1" applyAlignment="1" applyProtection="1"/>
    <xf numFmtId="1" fontId="0" fillId="2" borderId="0" xfId="0" applyNumberFormat="1" applyFont="1" applyFill="1" applyBorder="1" applyAlignment="1" applyProtection="1"/>
    <xf numFmtId="164" fontId="0" fillId="2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7" fontId="0" fillId="2" borderId="0" xfId="0" applyNumberFormat="1" applyFont="1" applyFill="1" applyBorder="1" applyAlignment="1" applyProtection="1"/>
    <xf numFmtId="165" fontId="49" fillId="0" borderId="0" xfId="4" applyNumberFormat="1" applyFont="1" applyBorder="1" applyAlignment="1">
      <alignment vertical="center"/>
    </xf>
    <xf numFmtId="166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/>
    <xf numFmtId="166" fontId="0" fillId="0" borderId="0" xfId="0" applyNumberFormat="1" applyFont="1" applyFill="1" applyBorder="1" applyAlignment="1"/>
    <xf numFmtId="2" fontId="48" fillId="0" borderId="0" xfId="0" applyNumberFormat="1" applyFont="1" applyFill="1" applyBorder="1" applyAlignment="1" applyProtection="1"/>
    <xf numFmtId="164" fontId="48" fillId="0" borderId="0" xfId="0" applyNumberFormat="1" applyFont="1" applyFill="1" applyBorder="1" applyAlignment="1" applyProtection="1"/>
    <xf numFmtId="1" fontId="48" fillId="0" borderId="0" xfId="0" applyNumberFormat="1" applyFont="1" applyBorder="1" applyAlignment="1"/>
    <xf numFmtId="2" fontId="50" fillId="0" borderId="0" xfId="0" applyNumberFormat="1" applyFont="1" applyFill="1" applyBorder="1" applyAlignment="1" applyProtection="1"/>
    <xf numFmtId="2" fontId="51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/>
    <xf numFmtId="15" fontId="0" fillId="0" borderId="0" xfId="0" applyNumberFormat="1" applyFont="1" applyBorder="1" applyAlignment="1"/>
    <xf numFmtId="2" fontId="41" fillId="3" borderId="0" xfId="0" applyNumberFormat="1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 applyProtection="1">
      <alignment horizontal="center"/>
    </xf>
    <xf numFmtId="1" fontId="52" fillId="2" borderId="1" xfId="0" applyNumberFormat="1" applyFont="1" applyFill="1" applyBorder="1" applyAlignment="1" applyProtection="1">
      <alignment horizontal="center"/>
    </xf>
    <xf numFmtId="0" fontId="0" fillId="0" borderId="0" xfId="0" applyFont="1" applyFill="1" applyBorder="1"/>
    <xf numFmtId="1" fontId="0" fillId="0" borderId="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/>
    <xf numFmtId="0" fontId="0" fillId="0" borderId="0" xfId="0" applyFont="1"/>
    <xf numFmtId="2" fontId="0" fillId="0" borderId="0" xfId="0" applyNumberFormat="1" applyFont="1"/>
    <xf numFmtId="2" fontId="0" fillId="0" borderId="0" xfId="0" applyNumberFormat="1" applyFont="1" applyBorder="1"/>
    <xf numFmtId="2" fontId="0" fillId="4" borderId="5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7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 applyProtection="1">
      <alignment horizontal="center"/>
    </xf>
    <xf numFmtId="2" fontId="0" fillId="2" borderId="1" xfId="0" applyNumberFormat="1" applyFont="1" applyFill="1" applyBorder="1" applyAlignment="1" applyProtection="1">
      <alignment horizontal="center"/>
    </xf>
    <xf numFmtId="1" fontId="0" fillId="2" borderId="1" xfId="0" applyNumberFormat="1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 applyProtection="1">
      <alignment horizontal="center"/>
    </xf>
    <xf numFmtId="167" fontId="0" fillId="2" borderId="1" xfId="0" applyNumberFormat="1" applyFont="1" applyFill="1" applyBorder="1" applyAlignment="1" applyProtection="1">
      <alignment horizontal="center"/>
    </xf>
    <xf numFmtId="2" fontId="0" fillId="3" borderId="1" xfId="0" applyNumberFormat="1" applyFont="1" applyFill="1" applyBorder="1" applyAlignment="1" applyProtection="1">
      <alignment horizontal="center"/>
    </xf>
    <xf numFmtId="167" fontId="0" fillId="3" borderId="1" xfId="0" applyNumberFormat="1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>
      <alignment horizontal="center"/>
    </xf>
    <xf numFmtId="1" fontId="27" fillId="3" borderId="0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 applyProtection="1">
      <alignment horizontal="center"/>
    </xf>
    <xf numFmtId="1" fontId="0" fillId="5" borderId="1" xfId="0" applyNumberFormat="1" applyFont="1" applyFill="1" applyBorder="1" applyAlignment="1" applyProtection="1">
      <alignment horizontal="center"/>
    </xf>
    <xf numFmtId="2" fontId="0" fillId="4" borderId="0" xfId="0" applyNumberFormat="1" applyFill="1" applyAlignment="1">
      <alignment horizontal="center"/>
    </xf>
    <xf numFmtId="165" fontId="0" fillId="0" borderId="0" xfId="0" applyNumberFormat="1" applyFont="1"/>
    <xf numFmtId="1" fontId="0" fillId="0" borderId="0" xfId="0" applyNumberFormat="1"/>
    <xf numFmtId="1" fontId="0" fillId="0" borderId="0" xfId="0" applyNumberFormat="1" applyFont="1"/>
    <xf numFmtId="2" fontId="8" fillId="0" borderId="0" xfId="0" applyNumberFormat="1" applyFont="1" applyFill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41" fillId="3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 applyProtection="1">
      <alignment horizontal="center"/>
    </xf>
    <xf numFmtId="165" fontId="0" fillId="0" borderId="0" xfId="0" applyNumberFormat="1" applyAlignment="1">
      <alignment horizontal="right"/>
    </xf>
    <xf numFmtId="1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Alignment="1">
      <alignment horizontal="right"/>
    </xf>
    <xf numFmtId="0" fontId="0" fillId="0" borderId="0" xfId="0" applyFont="1" applyFill="1"/>
    <xf numFmtId="43" fontId="0" fillId="0" borderId="0" xfId="4" applyFont="1" applyFill="1"/>
    <xf numFmtId="164" fontId="0" fillId="0" borderId="0" xfId="0" applyNumberFormat="1" applyFont="1" applyFill="1"/>
    <xf numFmtId="164" fontId="0" fillId="0" borderId="0" xfId="137" applyNumberFormat="1" applyFont="1" applyFill="1"/>
    <xf numFmtId="2" fontId="0" fillId="0" borderId="0" xfId="0" applyNumberFormat="1" applyFont="1" applyFill="1"/>
    <xf numFmtId="2" fontId="0" fillId="0" borderId="0" xfId="137" applyNumberFormat="1" applyFont="1" applyFill="1"/>
    <xf numFmtId="2" fontId="0" fillId="0" borderId="0" xfId="132" applyNumberFormat="1" applyFont="1" applyFill="1"/>
    <xf numFmtId="0" fontId="41" fillId="0" borderId="0" xfId="0" applyFont="1" applyBorder="1" applyAlignment="1"/>
    <xf numFmtId="0" fontId="52" fillId="0" borderId="0" xfId="0" applyFont="1" applyFill="1" applyBorder="1" applyAlignment="1">
      <alignment horizontal="right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left"/>
    </xf>
    <xf numFmtId="168" fontId="41" fillId="0" borderId="0" xfId="0" applyNumberFormat="1" applyFont="1" applyFill="1" applyBorder="1" applyAlignment="1">
      <alignment horizontal="left"/>
    </xf>
    <xf numFmtId="1" fontId="41" fillId="0" borderId="0" xfId="0" applyNumberFormat="1" applyFont="1" applyFill="1" applyBorder="1" applyAlignment="1">
      <alignment horizontal="right"/>
    </xf>
    <xf numFmtId="2" fontId="41" fillId="0" borderId="0" xfId="0" applyNumberFormat="1" applyFont="1" applyFill="1" applyBorder="1" applyAlignment="1">
      <alignment horizontal="right"/>
    </xf>
    <xf numFmtId="164" fontId="41" fillId="0" borderId="0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165" fontId="41" fillId="0" borderId="0" xfId="0" applyNumberFormat="1" applyFont="1" applyFill="1" applyBorder="1" applyAlignment="1">
      <alignment horizontal="right"/>
    </xf>
    <xf numFmtId="2" fontId="41" fillId="0" borderId="0" xfId="0" applyNumberFormat="1" applyFont="1" applyFill="1" applyAlignment="1">
      <alignment horizontal="right"/>
    </xf>
    <xf numFmtId="0" fontId="41" fillId="0" borderId="0" xfId="0" applyFont="1" applyAlignment="1">
      <alignment horizontal="right"/>
    </xf>
    <xf numFmtId="164" fontId="41" fillId="0" borderId="0" xfId="0" applyNumberFormat="1" applyFont="1" applyFill="1" applyBorder="1" applyAlignment="1" applyProtection="1">
      <alignment horizontal="right"/>
    </xf>
    <xf numFmtId="2" fontId="41" fillId="3" borderId="0" xfId="0" applyNumberFormat="1" applyFont="1" applyFill="1" applyBorder="1" applyAlignment="1">
      <alignment horizontal="right" vertical="center"/>
    </xf>
    <xf numFmtId="167" fontId="41" fillId="3" borderId="0" xfId="0" applyNumberFormat="1" applyFont="1" applyFill="1" applyBorder="1" applyAlignment="1">
      <alignment horizontal="right" vertical="center"/>
    </xf>
    <xf numFmtId="1" fontId="41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>
      <alignment horizontal="right"/>
    </xf>
    <xf numFmtId="164" fontId="41" fillId="0" borderId="0" xfId="0" applyNumberFormat="1" applyFont="1" applyFill="1" applyBorder="1" applyAlignment="1" applyProtection="1">
      <alignment horizontal="center"/>
    </xf>
    <xf numFmtId="2" fontId="41" fillId="2" borderId="0" xfId="0" applyNumberFormat="1" applyFont="1" applyFill="1" applyBorder="1" applyAlignment="1" applyProtection="1"/>
    <xf numFmtId="1" fontId="41" fillId="2" borderId="0" xfId="0" applyNumberFormat="1" applyFont="1" applyFill="1" applyBorder="1" applyAlignment="1" applyProtection="1"/>
    <xf numFmtId="164" fontId="41" fillId="2" borderId="0" xfId="0" applyNumberFormat="1" applyFont="1" applyFill="1" applyBorder="1" applyAlignment="1" applyProtection="1"/>
    <xf numFmtId="164" fontId="41" fillId="0" borderId="0" xfId="0" applyNumberFormat="1" applyFont="1" applyFill="1" applyBorder="1" applyAlignment="1" applyProtection="1"/>
    <xf numFmtId="167" fontId="41" fillId="2" borderId="0" xfId="0" applyNumberFormat="1" applyFont="1" applyFill="1" applyBorder="1" applyAlignment="1" applyProtection="1"/>
    <xf numFmtId="164" fontId="41" fillId="0" borderId="0" xfId="0" applyNumberFormat="1" applyFont="1" applyFill="1" applyAlignment="1">
      <alignment horizontal="right"/>
    </xf>
    <xf numFmtId="1" fontId="41" fillId="0" borderId="0" xfId="0" applyNumberFormat="1" applyFont="1" applyFill="1" applyBorder="1" applyAlignment="1" applyProtection="1">
      <alignment horizontal="right"/>
    </xf>
    <xf numFmtId="164" fontId="41" fillId="0" borderId="0" xfId="137" applyNumberFormat="1" applyFont="1" applyFill="1" applyAlignment="1">
      <alignment horizontal="right"/>
    </xf>
    <xf numFmtId="164" fontId="52" fillId="0" borderId="0" xfId="0" applyNumberFormat="1" applyFont="1" applyFill="1" applyBorder="1" applyAlignment="1">
      <alignment horizontal="right"/>
    </xf>
    <xf numFmtId="1" fontId="52" fillId="0" borderId="0" xfId="0" applyNumberFormat="1" applyFont="1" applyFill="1" applyBorder="1" applyAlignment="1">
      <alignment horizontal="right"/>
    </xf>
    <xf numFmtId="164" fontId="49" fillId="0" borderId="0" xfId="94" applyNumberFormat="1" applyFont="1" applyBorder="1" applyAlignment="1"/>
    <xf numFmtId="164" fontId="0" fillId="0" borderId="0" xfId="0" applyNumberFormat="1" applyFont="1" applyBorder="1" applyAlignment="1">
      <alignment vertical="center"/>
    </xf>
    <xf numFmtId="164" fontId="0" fillId="0" borderId="0" xfId="4" applyNumberFormat="1" applyFont="1" applyBorder="1" applyAlignment="1">
      <alignment vertical="center"/>
    </xf>
    <xf numFmtId="164" fontId="44" fillId="0" borderId="0" xfId="0" applyNumberFormat="1" applyFont="1" applyBorder="1" applyAlignment="1"/>
    <xf numFmtId="164" fontId="0" fillId="0" borderId="0" xfId="4" applyNumberFormat="1" applyFont="1" applyBorder="1" applyAlignment="1"/>
    <xf numFmtId="164" fontId="41" fillId="0" borderId="0" xfId="0" applyNumberFormat="1" applyFont="1" applyAlignment="1">
      <alignment horizontal="right"/>
    </xf>
    <xf numFmtId="164" fontId="41" fillId="0" borderId="0" xfId="132" applyNumberFormat="1" applyFont="1" applyFill="1" applyAlignment="1">
      <alignment horizontal="right"/>
    </xf>
    <xf numFmtId="164" fontId="41" fillId="0" borderId="0" xfId="4" applyNumberFormat="1" applyFont="1" applyFill="1" applyAlignment="1">
      <alignment horizontal="right"/>
    </xf>
    <xf numFmtId="164" fontId="41" fillId="0" borderId="0" xfId="0" applyNumberFormat="1" applyFont="1" applyBorder="1" applyAlignment="1">
      <alignment horizontal="right"/>
    </xf>
    <xf numFmtId="164" fontId="48" fillId="0" borderId="0" xfId="94" applyNumberFormat="1" applyFont="1" applyBorder="1" applyAlignment="1"/>
    <xf numFmtId="164" fontId="44" fillId="0" borderId="0" xfId="4" applyNumberFormat="1" applyFont="1" applyBorder="1" applyAlignment="1"/>
    <xf numFmtId="164" fontId="41" fillId="0" borderId="0" xfId="4" applyNumberFormat="1" applyFont="1" applyBorder="1" applyAlignment="1"/>
    <xf numFmtId="165" fontId="41" fillId="0" borderId="0" xfId="0" applyNumberFormat="1" applyFont="1"/>
    <xf numFmtId="165" fontId="52" fillId="0" borderId="0" xfId="0" applyNumberFormat="1" applyFont="1"/>
    <xf numFmtId="0" fontId="50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165" fontId="8" fillId="0" borderId="0" xfId="0" applyNumberFormat="1" applyFont="1" applyFill="1" applyAlignment="1" applyProtection="1">
      <alignment horizontal="center"/>
    </xf>
    <xf numFmtId="1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 applyProtection="1">
      <alignment horizontal="center"/>
    </xf>
    <xf numFmtId="2" fontId="0" fillId="0" borderId="0" xfId="0" applyNumberForma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</xf>
  </cellXfs>
  <cellStyles count="139">
    <cellStyle name="Comma" xfId="4" builtinId="3"/>
    <cellStyle name="Comma 2" xfId="134"/>
    <cellStyle name="Followed Hyperlink" xfId="2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Normal" xfId="0" builtinId="0"/>
    <cellStyle name="Normal 2" xfId="1"/>
    <cellStyle name="Normal 3" xfId="3"/>
    <cellStyle name="Normal 4" xfId="6"/>
    <cellStyle name="Normal 4 2" xfId="136"/>
    <cellStyle name="Normal 5" xfId="52"/>
    <cellStyle name="Normal 5 2" xfId="137"/>
    <cellStyle name="Normal 6" xfId="5"/>
    <cellStyle name="Normal 6 2" xfId="135"/>
    <cellStyle name="Normal 7" xfId="94"/>
    <cellStyle name="Normal 8" xfId="133"/>
    <cellStyle name="Normal 9" xfId="132"/>
    <cellStyle name="Percent 2" xfId="7"/>
    <cellStyle name="Percent 3" xfId="13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849768136843712"/>
          <c:h val="0.817943152802788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'2016 Data'!$AV$2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Data'!$AV$17:$AV$42</c:f>
              <c:numCache>
                <c:formatCode>0</c:formatCode>
                <c:ptCount val="26"/>
                <c:pt idx="0">
                  <c:v>286.19192574479763</c:v>
                </c:pt>
                <c:pt idx="3">
                  <c:v>1294.2262587953487</c:v>
                </c:pt>
                <c:pt idx="6">
                  <c:v>1169.2699236488845</c:v>
                </c:pt>
                <c:pt idx="9">
                  <c:v>749.28888667099159</c:v>
                </c:pt>
                <c:pt idx="12">
                  <c:v>1025.101052946754</c:v>
                </c:pt>
                <c:pt idx="15">
                  <c:v>107.1909775936923</c:v>
                </c:pt>
                <c:pt idx="18">
                  <c:v>181.54598532860919</c:v>
                </c:pt>
                <c:pt idx="21">
                  <c:v>990.11926742851438</c:v>
                </c:pt>
                <c:pt idx="24" formatCode="0.0">
                  <c:v>214.53166325664955</c:v>
                </c:pt>
              </c:numCache>
            </c:numRef>
          </c:val>
        </c:ser>
        <c:ser>
          <c:idx val="3"/>
          <c:order val="1"/>
          <c:tx>
            <c:strRef>
              <c:f>'2016 Data'!$AW$2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Data'!$AW$17:$AW$42</c:f>
              <c:numCache>
                <c:formatCode>0.0</c:formatCode>
                <c:ptCount val="26"/>
                <c:pt idx="0">
                  <c:v>101.84271141822967</c:v>
                </c:pt>
                <c:pt idx="3">
                  <c:v>306.43303718328394</c:v>
                </c:pt>
                <c:pt idx="6">
                  <c:v>251.64527805199077</c:v>
                </c:pt>
                <c:pt idx="9" formatCode="0">
                  <c:v>209.52615992102668</c:v>
                </c:pt>
                <c:pt idx="12" formatCode="0">
                  <c:v>360.15136558078314</c:v>
                </c:pt>
                <c:pt idx="15" formatCode="0">
                  <c:v>138.94373149062193</c:v>
                </c:pt>
                <c:pt idx="18" formatCode="0">
                  <c:v>77.65712405396512</c:v>
                </c:pt>
                <c:pt idx="21">
                  <c:v>237.57815070746955</c:v>
                </c:pt>
                <c:pt idx="24">
                  <c:v>85.636722606120429</c:v>
                </c:pt>
              </c:numCache>
            </c:numRef>
          </c:val>
        </c:ser>
        <c:ser>
          <c:idx val="4"/>
          <c:order val="2"/>
          <c:tx>
            <c:strRef>
              <c:f>'2016 Data'!$AX$2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Data'!$AX$17:$AX$42</c:f>
              <c:numCache>
                <c:formatCode>0.00</c:formatCode>
                <c:ptCount val="26"/>
                <c:pt idx="0" formatCode="0.0">
                  <c:v>78.555893866898671</c:v>
                </c:pt>
                <c:pt idx="3" formatCode="0.0">
                  <c:v>448.15137016093956</c:v>
                </c:pt>
                <c:pt idx="6" formatCode="0">
                  <c:v>883.03610265332759</c:v>
                </c:pt>
                <c:pt idx="9" formatCode="0">
                  <c:v>318.35580687255333</c:v>
                </c:pt>
                <c:pt idx="12" formatCode="0">
                  <c:v>623.35798173118746</c:v>
                </c:pt>
                <c:pt idx="15" formatCode="0">
                  <c:v>61.85297955632884</c:v>
                </c:pt>
                <c:pt idx="18" formatCode="0">
                  <c:v>135.6241844280122</c:v>
                </c:pt>
                <c:pt idx="21" formatCode="0">
                  <c:v>644.28012179208349</c:v>
                </c:pt>
                <c:pt idx="24">
                  <c:v>209.09090909090912</c:v>
                </c:pt>
              </c:numCache>
            </c:numRef>
          </c:val>
        </c:ser>
        <c:ser>
          <c:idx val="5"/>
          <c:order val="3"/>
          <c:tx>
            <c:strRef>
              <c:f>'2016 Data'!$AY$2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Data'!$AY$17:$AY$42</c:f>
              <c:numCache>
                <c:formatCode>0.00</c:formatCode>
                <c:ptCount val="26"/>
                <c:pt idx="0">
                  <c:v>15.191038821543655</c:v>
                </c:pt>
                <c:pt idx="3">
                  <c:v>47.312157945885126</c:v>
                </c:pt>
                <c:pt idx="6">
                  <c:v>96.261060815303566</c:v>
                </c:pt>
                <c:pt idx="9" formatCode="0.0">
                  <c:v>38.335635005882061</c:v>
                </c:pt>
                <c:pt idx="12" formatCode="0.0">
                  <c:v>82.220858268119287</c:v>
                </c:pt>
                <c:pt idx="15" formatCode="0.0">
                  <c:v>11.406066185872847</c:v>
                </c:pt>
                <c:pt idx="18" formatCode="0.0">
                  <c:v>15.165464682113447</c:v>
                </c:pt>
                <c:pt idx="21">
                  <c:v>105.1352871975858</c:v>
                </c:pt>
                <c:pt idx="24">
                  <c:v>20.945220193340493</c:v>
                </c:pt>
              </c:numCache>
            </c:numRef>
          </c:val>
        </c:ser>
        <c:ser>
          <c:idx val="1"/>
          <c:order val="4"/>
          <c:tx>
            <c:strRef>
              <c:f>'2016 Data'!$AU$2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Data'!$AU$17:$AU$42</c:f>
              <c:numCache>
                <c:formatCode>0.00</c:formatCode>
                <c:ptCount val="26"/>
                <c:pt idx="0">
                  <c:v>4.2657951880159237E-2</c:v>
                </c:pt>
                <c:pt idx="3">
                  <c:v>2.9512092266663778E-2</c:v>
                </c:pt>
                <c:pt idx="6">
                  <c:v>5.3703179637025193E-2</c:v>
                </c:pt>
                <c:pt idx="9">
                  <c:v>5.3703179637025193E-2</c:v>
                </c:pt>
                <c:pt idx="12">
                  <c:v>2.8183829312644466E-2</c:v>
                </c:pt>
                <c:pt idx="15">
                  <c:v>0.13489628825916511</c:v>
                </c:pt>
                <c:pt idx="18">
                  <c:v>6.3095734448019178E-2</c:v>
                </c:pt>
                <c:pt idx="21">
                  <c:v>3.5481338923357426E-2</c:v>
                </c:pt>
                <c:pt idx="24">
                  <c:v>0.3981071705534962</c:v>
                </c:pt>
              </c:numCache>
            </c:numRef>
          </c:val>
        </c:ser>
        <c:ser>
          <c:idx val="11"/>
          <c:order val="5"/>
          <c:tx>
            <c:strRef>
              <c:f>'2016 Data'!$BE$2</c:f>
              <c:strCache>
                <c:ptCount val="1"/>
                <c:pt idx="0">
                  <c:v>HCO3-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Data'!$BE$17:$BE$42</c:f>
              <c:numCache>
                <c:formatCode>0</c:formatCode>
                <c:ptCount val="26"/>
                <c:pt idx="1">
                  <c:v>229.87016860948842</c:v>
                </c:pt>
                <c:pt idx="4">
                  <c:v>1728.1622399577157</c:v>
                </c:pt>
                <c:pt idx="7">
                  <c:v>1184.4084453820644</c:v>
                </c:pt>
                <c:pt idx="10">
                  <c:v>804.38670492384927</c:v>
                </c:pt>
                <c:pt idx="13">
                  <c:v>1087.2379605889178</c:v>
                </c:pt>
                <c:pt idx="16">
                  <c:v>92.79046703439333</c:v>
                </c:pt>
                <c:pt idx="19">
                  <c:v>174.99145251504308</c:v>
                </c:pt>
                <c:pt idx="22">
                  <c:v>882.5810401491342</c:v>
                </c:pt>
                <c:pt idx="25">
                  <c:v>217.80097706716245</c:v>
                </c:pt>
              </c:numCache>
            </c:numRef>
          </c:val>
        </c:ser>
        <c:ser>
          <c:idx val="6"/>
          <c:order val="6"/>
          <c:tx>
            <c:strRef>
              <c:f>'2016 Data'!$AZ$2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Data'!$AZ$17:$AZ$42</c:f>
              <c:numCache>
                <c:formatCode>0.0</c:formatCode>
                <c:ptCount val="26"/>
                <c:pt idx="1">
                  <c:v>163.76998667554966</c:v>
                </c:pt>
                <c:pt idx="4" formatCode="0">
                  <c:v>163.54930046635576</c:v>
                </c:pt>
                <c:pt idx="7">
                  <c:v>434.40622918054635</c:v>
                </c:pt>
                <c:pt idx="10" formatCode="0">
                  <c:v>283.83369420386413</c:v>
                </c:pt>
                <c:pt idx="13" formatCode="0">
                  <c:v>299.31712191872083</c:v>
                </c:pt>
                <c:pt idx="16" formatCode="0">
                  <c:v>38.603431045969359</c:v>
                </c:pt>
                <c:pt idx="19" formatCode="0">
                  <c:v>71.108844103930721</c:v>
                </c:pt>
                <c:pt idx="22">
                  <c:v>389.35084943371089</c:v>
                </c:pt>
                <c:pt idx="25">
                  <c:v>54.467854763491012</c:v>
                </c:pt>
              </c:numCache>
            </c:numRef>
          </c:val>
        </c:ser>
        <c:ser>
          <c:idx val="7"/>
          <c:order val="7"/>
          <c:tx>
            <c:strRef>
              <c:f>'2016 Data'!$BA$2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Data'!$BA$17:$BA$42</c:f>
              <c:numCache>
                <c:formatCode>0.0</c:formatCode>
                <c:ptCount val="26"/>
                <c:pt idx="1">
                  <c:v>3.5560673282080804</c:v>
                </c:pt>
                <c:pt idx="4">
                  <c:v>0</c:v>
                </c:pt>
                <c:pt idx="7">
                  <c:v>17.722278398947211</c:v>
                </c:pt>
                <c:pt idx="10">
                  <c:v>21.486387761322568</c:v>
                </c:pt>
                <c:pt idx="13">
                  <c:v>93.570533506862958</c:v>
                </c:pt>
                <c:pt idx="16">
                  <c:v>10.079555918957146</c:v>
                </c:pt>
                <c:pt idx="19">
                  <c:v>10.244054271554525</c:v>
                </c:pt>
                <c:pt idx="22">
                  <c:v>46.277257135116038</c:v>
                </c:pt>
                <c:pt idx="25">
                  <c:v>4.6736884885020489</c:v>
                </c:pt>
              </c:numCache>
            </c:numRef>
          </c:val>
        </c:ser>
        <c:ser>
          <c:idx val="8"/>
          <c:order val="8"/>
          <c:tx>
            <c:strRef>
              <c:f>'2016 Data'!$BB$2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Data'!$BB$17:$BB$42</c:f>
              <c:numCache>
                <c:formatCode>0.0</c:formatCode>
                <c:ptCount val="26"/>
                <c:pt idx="1">
                  <c:v>22.288663864835129</c:v>
                </c:pt>
                <c:pt idx="4">
                  <c:v>365.05514342932895</c:v>
                </c:pt>
                <c:pt idx="7" formatCode="0">
                  <c:v>1126.3729444616818</c:v>
                </c:pt>
                <c:pt idx="10" formatCode="0">
                  <c:v>348.82238456548106</c:v>
                </c:pt>
                <c:pt idx="13" formatCode="0">
                  <c:v>869.66688291540902</c:v>
                </c:pt>
                <c:pt idx="16" formatCode="0">
                  <c:v>52.020985530138489</c:v>
                </c:pt>
                <c:pt idx="19" formatCode="0">
                  <c:v>167.00984401884185</c:v>
                </c:pt>
                <c:pt idx="22" formatCode="0">
                  <c:v>885.91374495811351</c:v>
                </c:pt>
                <c:pt idx="25">
                  <c:v>238.81758948466981</c:v>
                </c:pt>
              </c:numCache>
            </c:numRef>
          </c:val>
        </c:ser>
        <c:ser>
          <c:idx val="9"/>
          <c:order val="9"/>
          <c:tx>
            <c:strRef>
              <c:f>'2016 Data'!$BC$2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Data'!$BC$17:$BC$42</c:f>
              <c:numCache>
                <c:formatCode>0.0</c:formatCode>
                <c:ptCount val="26"/>
                <c:pt idx="1">
                  <c:v>2.0949573639330459</c:v>
                </c:pt>
                <c:pt idx="4">
                  <c:v>2.0896936519633647</c:v>
                </c:pt>
                <c:pt idx="7">
                  <c:v>0</c:v>
                </c:pt>
                <c:pt idx="10">
                  <c:v>4.3478260869565215</c:v>
                </c:pt>
                <c:pt idx="13">
                  <c:v>14.548899884198335</c:v>
                </c:pt>
                <c:pt idx="16">
                  <c:v>2.5739551531740181</c:v>
                </c:pt>
                <c:pt idx="19">
                  <c:v>3.0476892304453096</c:v>
                </c:pt>
                <c:pt idx="22">
                  <c:v>47.262869775765864</c:v>
                </c:pt>
                <c:pt idx="25">
                  <c:v>2.2160227392357088</c:v>
                </c:pt>
              </c:numCache>
            </c:numRef>
          </c:val>
        </c:ser>
        <c:ser>
          <c:idx val="10"/>
          <c:order val="10"/>
          <c:tx>
            <c:strRef>
              <c:f>'2016 Data'!$BD$2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Data'!$BD$17:$BD$42</c:f>
              <c:numCache>
                <c:formatCode>0.0</c:formatCode>
                <c:ptCount val="26"/>
                <c:pt idx="1">
                  <c:v>0.8718114304165322</c:v>
                </c:pt>
                <c:pt idx="4">
                  <c:v>0.8718114304165322</c:v>
                </c:pt>
                <c:pt idx="7">
                  <c:v>1.0655473038424281</c:v>
                </c:pt>
                <c:pt idx="10">
                  <c:v>1.646754924120116</c:v>
                </c:pt>
                <c:pt idx="13">
                  <c:v>1.2592831772683242</c:v>
                </c:pt>
                <c:pt idx="16">
                  <c:v>0.96867936712948011</c:v>
                </c:pt>
                <c:pt idx="19">
                  <c:v>0.77494349370358417</c:v>
                </c:pt>
                <c:pt idx="22">
                  <c:v>1.1624152405553763</c:v>
                </c:pt>
                <c:pt idx="25">
                  <c:v>1.1624152405553763</c:v>
                </c:pt>
              </c:numCache>
            </c:numRef>
          </c:val>
        </c:ser>
        <c:ser>
          <c:idx val="0"/>
          <c:order val="11"/>
          <c:tx>
            <c:strRef>
              <c:f>'2016 Data'!$AQ$2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Data'!$BF$17:$BF$42</c:f>
              <c:numCache>
                <c:formatCode>0.0</c:formatCode>
                <c:ptCount val="26"/>
                <c:pt idx="1">
                  <c:v>10.57395169773322</c:v>
                </c:pt>
                <c:pt idx="4">
                  <c:v>42.174444440542096</c:v>
                </c:pt>
                <c:pt idx="7">
                  <c:v>41.91997342087334</c:v>
                </c:pt>
                <c:pt idx="10">
                  <c:v>47.96273623461267</c:v>
                </c:pt>
                <c:pt idx="13">
                  <c:v>33.046027373677809</c:v>
                </c:pt>
                <c:pt idx="16">
                  <c:v>23.653447858664666</c:v>
                </c:pt>
                <c:pt idx="19">
                  <c:v>22.34565427618988</c:v>
                </c:pt>
                <c:pt idx="22">
                  <c:v>67.768915225513211</c:v>
                </c:pt>
                <c:pt idx="25">
                  <c:v>45.131939188031552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5055488"/>
        <c:axId val="55057408"/>
      </c:barChart>
      <c:catAx>
        <c:axId val="5505548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55057408"/>
        <c:crosses val="autoZero"/>
        <c:auto val="1"/>
        <c:lblAlgn val="ctr"/>
        <c:lblOffset val="100"/>
        <c:noMultiLvlLbl val="0"/>
      </c:catAx>
      <c:valAx>
        <c:axId val="55057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ueq/L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505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191277687904004"/>
          <c:y val="1.2584919112937746E-2"/>
          <c:w val="0.73654974875582557"/>
          <c:h val="9.14233037174786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7471707803151337"/>
          <c:y val="0.14399314668999708"/>
          <c:w val="0.75826943689041315"/>
          <c:h val="0.548666885389326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Data'!$X$4:$X$12</c:f>
              <c:numCache>
                <c:formatCode>General</c:formatCode>
                <c:ptCount val="9"/>
                <c:pt idx="3">
                  <c:v>36</c:v>
                </c:pt>
                <c:pt idx="8" formatCode="0">
                  <c:v>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12960"/>
        <c:axId val="135254784"/>
      </c:barChart>
      <c:catAx>
        <c:axId val="1351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54784"/>
        <c:crosses val="autoZero"/>
        <c:auto val="1"/>
        <c:lblAlgn val="ctr"/>
        <c:lblOffset val="100"/>
        <c:noMultiLvlLbl val="0"/>
      </c:catAx>
      <c:valAx>
        <c:axId val="135254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µeq/L Fe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3511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Manganese</a:t>
            </a:r>
          </a:p>
        </c:rich>
      </c:tx>
      <c:layout>
        <c:manualLayout>
          <c:xMode val="edge"/>
          <c:yMode val="edge"/>
          <c:x val="0.4188260833271073"/>
          <c:y val="1.64529368276319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523921618805317"/>
          <c:y val="0.14399314668999708"/>
          <c:w val="0.77774729873387338"/>
          <c:h val="0.548666885389326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Data'!$Y$4:$Y$12</c:f>
              <c:numCache>
                <c:formatCode>General</c:formatCode>
                <c:ptCount val="9"/>
                <c:pt idx="0">
                  <c:v>14</c:v>
                </c:pt>
                <c:pt idx="1">
                  <c:v>13</c:v>
                </c:pt>
                <c:pt idx="2" formatCode="0">
                  <c:v>38</c:v>
                </c:pt>
                <c:pt idx="3">
                  <c:v>39</c:v>
                </c:pt>
                <c:pt idx="4">
                  <c:v>13</c:v>
                </c:pt>
                <c:pt idx="5" formatCode="0">
                  <c:v>14</c:v>
                </c:pt>
                <c:pt idx="6">
                  <c:v>13</c:v>
                </c:pt>
                <c:pt idx="7">
                  <c:v>47</c:v>
                </c:pt>
                <c:pt idx="8" formatCode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90240"/>
        <c:axId val="135324032"/>
      </c:barChart>
      <c:catAx>
        <c:axId val="13529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324032"/>
        <c:crosses val="autoZero"/>
        <c:auto val="1"/>
        <c:lblAlgn val="ctr"/>
        <c:lblOffset val="100"/>
        <c:noMultiLvlLbl val="0"/>
      </c:catAx>
      <c:valAx>
        <c:axId val="135324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µg/L Mn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3529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1748282962088373E-2"/>
                  <c:y val="0.38582494896471276"/>
                </c:manualLayout>
              </c:layout>
              <c:numFmt formatCode="General" sourceLinked="0"/>
            </c:trendlineLbl>
          </c:trendline>
          <c:xVal>
            <c:numRef>
              <c:f>'2016 Data'!$AZ$4:$AZ$12</c:f>
              <c:numCache>
                <c:formatCode>0</c:formatCode>
                <c:ptCount val="9"/>
                <c:pt idx="0">
                  <c:v>163.76998667554966</c:v>
                </c:pt>
                <c:pt idx="1">
                  <c:v>163.54930046635576</c:v>
                </c:pt>
                <c:pt idx="2">
                  <c:v>434.40622918054635</c:v>
                </c:pt>
                <c:pt idx="3">
                  <c:v>283.83369420386413</c:v>
                </c:pt>
                <c:pt idx="4">
                  <c:v>299.31712191872083</c:v>
                </c:pt>
                <c:pt idx="5" formatCode="0.0">
                  <c:v>38.603431045969359</c:v>
                </c:pt>
                <c:pt idx="6" formatCode="0.0">
                  <c:v>71.108844103930721</c:v>
                </c:pt>
                <c:pt idx="7">
                  <c:v>389.35084943371089</c:v>
                </c:pt>
                <c:pt idx="8" formatCode="0.0">
                  <c:v>54.467854763491012</c:v>
                </c:pt>
              </c:numCache>
            </c:numRef>
          </c:xVal>
          <c:yVal>
            <c:numRef>
              <c:f>'2016 Data'!$BB$4:$BB$12</c:f>
              <c:numCache>
                <c:formatCode>0</c:formatCode>
                <c:ptCount val="9"/>
                <c:pt idx="0" formatCode="0.0">
                  <c:v>22.288663864835129</c:v>
                </c:pt>
                <c:pt idx="1">
                  <c:v>365.05514342932895</c:v>
                </c:pt>
                <c:pt idx="2">
                  <c:v>1126.3729444616818</c:v>
                </c:pt>
                <c:pt idx="3">
                  <c:v>348.82238456548106</c:v>
                </c:pt>
                <c:pt idx="4">
                  <c:v>869.66688291540902</c:v>
                </c:pt>
                <c:pt idx="5" formatCode="0.0">
                  <c:v>52.020985530138489</c:v>
                </c:pt>
                <c:pt idx="6">
                  <c:v>167.00984401884185</c:v>
                </c:pt>
                <c:pt idx="7">
                  <c:v>885.91374495811351</c:v>
                </c:pt>
                <c:pt idx="8">
                  <c:v>238.81758948466981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91040"/>
        <c:axId val="135592960"/>
      </c:scatterChart>
      <c:valAx>
        <c:axId val="13559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SO4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5592960"/>
        <c:crosses val="autoZero"/>
        <c:crossBetween val="midCat"/>
      </c:valAx>
      <c:valAx>
        <c:axId val="1355929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5591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'2016 Data'!$AL$2</c:f>
              <c:strCache>
                <c:ptCount val="1"/>
                <c:pt idx="0">
                  <c:v>Free PO4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Data'!$AL$4:$AL$12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17</c:v>
                </c:pt>
                <c:pt idx="4">
                  <c:v>13</c:v>
                </c:pt>
                <c:pt idx="5">
                  <c:v>10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</c:ser>
        <c:ser>
          <c:idx val="1"/>
          <c:order val="1"/>
          <c:tx>
            <c:strRef>
              <c:f>'2016 Data'!$AO$2</c:f>
              <c:strCache>
                <c:ptCount val="1"/>
                <c:pt idx="0">
                  <c:v>DOP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Data'!$AO$4:$AO$12</c:f>
              <c:numCache>
                <c:formatCode>0.0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 formatCode="0">
                  <c:v>13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ser>
          <c:idx val="2"/>
          <c:order val="2"/>
          <c:tx>
            <c:strRef>
              <c:f>'2016 Data'!$AN$2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val>
            <c:numRef>
              <c:f>'2016 Data'!$AN$4:$AN$12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308</c:v>
                </c:pt>
                <c:pt idx="3">
                  <c:v>20</c:v>
                </c:pt>
                <c:pt idx="4">
                  <c:v>10</c:v>
                </c:pt>
                <c:pt idx="5">
                  <c:v>0</c:v>
                </c:pt>
                <c:pt idx="6">
                  <c:v>4</c:v>
                </c:pt>
                <c:pt idx="7">
                  <c:v>560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848704"/>
        <c:axId val="135850624"/>
      </c:barChart>
      <c:catAx>
        <c:axId val="13584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50624"/>
        <c:crosses val="autoZero"/>
        <c:auto val="1"/>
        <c:lblAlgn val="ctr"/>
        <c:lblOffset val="100"/>
        <c:noMultiLvlLbl val="0"/>
      </c:catAx>
      <c:valAx>
        <c:axId val="135850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ug P/L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584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sUVa</a:t>
            </a:r>
          </a:p>
        </c:rich>
      </c:tx>
      <c:layout>
        <c:manualLayout>
          <c:xMode val="edge"/>
          <c:yMode val="edge"/>
          <c:x val="0.40136400449850718"/>
          <c:y val="9.2592592592592587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Data'!$Q$4:$Q$12</c:f>
              <c:numCache>
                <c:formatCode>0.00</c:formatCode>
                <c:ptCount val="9"/>
                <c:pt idx="0">
                  <c:v>1.6435541859270673E-2</c:v>
                </c:pt>
                <c:pt idx="1">
                  <c:v>2.3502066115702481E-2</c:v>
                </c:pt>
                <c:pt idx="2">
                  <c:v>2.0297349709114416E-2</c:v>
                </c:pt>
                <c:pt idx="3">
                  <c:v>1.7175141242937852E-2</c:v>
                </c:pt>
                <c:pt idx="4">
                  <c:v>3.4289482360698981E-2</c:v>
                </c:pt>
                <c:pt idx="5">
                  <c:v>3.9846049354765677E-2</c:v>
                </c:pt>
                <c:pt idx="6">
                  <c:v>4.1162227602905575E-2</c:v>
                </c:pt>
                <c:pt idx="7">
                  <c:v>1.853932584269663E-2</c:v>
                </c:pt>
                <c:pt idx="8">
                  <c:v>4.2713276999652737E-2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86944"/>
        <c:axId val="141275136"/>
      </c:barChart>
      <c:catAx>
        <c:axId val="14118694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41275136"/>
        <c:crosses val="autoZero"/>
        <c:auto val="1"/>
        <c:lblAlgn val="ctr"/>
        <c:lblOffset val="100"/>
        <c:noMultiLvlLbl val="0"/>
      </c:catAx>
      <c:valAx>
        <c:axId val="141275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sUVa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118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SAR</a:t>
            </a:r>
          </a:p>
        </c:rich>
      </c:tx>
      <c:layout>
        <c:manualLayout>
          <c:xMode val="edge"/>
          <c:yMode val="edge"/>
          <c:x val="0.52575419933251821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116428391707143"/>
          <c:y val="4.6770924467774859E-2"/>
          <c:w val="0.81842921357509946"/>
          <c:h val="0.6412594779819189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Data'!$R$4:$R$12</c:f>
              <c:numCache>
                <c:formatCode>0.00</c:formatCode>
                <c:ptCount val="9"/>
                <c:pt idx="0">
                  <c:v>16</c:v>
                </c:pt>
                <c:pt idx="1">
                  <c:v>12.133333333333333</c:v>
                </c:pt>
                <c:pt idx="2">
                  <c:v>9.235294117647058</c:v>
                </c:pt>
                <c:pt idx="3">
                  <c:v>8.4444444444444446</c:v>
                </c:pt>
                <c:pt idx="4">
                  <c:v>9.9047619047619033</c:v>
                </c:pt>
                <c:pt idx="5">
                  <c:v>8</c:v>
                </c:pt>
                <c:pt idx="6">
                  <c:v>7.0833333333333339</c:v>
                </c:pt>
                <c:pt idx="7">
                  <c:v>8.884615384615385</c:v>
                </c:pt>
                <c:pt idx="8">
                  <c:v>8.3863636363636367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34784"/>
        <c:axId val="142995840"/>
      </c:barChart>
      <c:catAx>
        <c:axId val="14133478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42995840"/>
        <c:crosses val="autoZero"/>
        <c:auto val="1"/>
        <c:lblAlgn val="ctr"/>
        <c:lblOffset val="100"/>
        <c:noMultiLvlLbl val="0"/>
      </c:catAx>
      <c:valAx>
        <c:axId val="142995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SAR=Abs@254/400nm</a:t>
                </a:r>
                <a:endParaRPr lang="en-US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4133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DOC</a:t>
            </a:r>
          </a:p>
        </c:rich>
      </c:tx>
      <c:layout>
        <c:manualLayout>
          <c:xMode val="edge"/>
          <c:yMode val="edge"/>
          <c:x val="0.45941265171691176"/>
          <c:y val="2.777777777777777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Data'!$P$4:$P$12</c:f>
              <c:numCache>
                <c:formatCode>0.00</c:formatCode>
                <c:ptCount val="9"/>
                <c:pt idx="0">
                  <c:v>1.9470000000000001</c:v>
                </c:pt>
                <c:pt idx="1">
                  <c:v>7.7439999999999998</c:v>
                </c:pt>
                <c:pt idx="2">
                  <c:v>7.7350000000000003</c:v>
                </c:pt>
                <c:pt idx="3">
                  <c:v>8.85</c:v>
                </c:pt>
                <c:pt idx="4">
                  <c:v>6.0659999999999998</c:v>
                </c:pt>
                <c:pt idx="5">
                  <c:v>4.4169999999999998</c:v>
                </c:pt>
                <c:pt idx="6">
                  <c:v>4.13</c:v>
                </c:pt>
                <c:pt idx="7">
                  <c:v>12.46</c:v>
                </c:pt>
                <c:pt idx="8">
                  <c:v>8.6389999999999993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95552"/>
        <c:axId val="143910400"/>
      </c:barChart>
      <c:catAx>
        <c:axId val="14389555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43910400"/>
        <c:crosses val="autoZero"/>
        <c:auto val="1"/>
        <c:lblAlgn val="ctr"/>
        <c:lblOffset val="100"/>
        <c:noMultiLvlLbl val="0"/>
      </c:catAx>
      <c:valAx>
        <c:axId val="1439104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mg</a:t>
                </a:r>
                <a:r>
                  <a:rPr lang="nb-NO" baseline="0"/>
                  <a:t> C/L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389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 absorbtion</a:t>
            </a:r>
          </a:p>
        </c:rich>
      </c:tx>
      <c:layout>
        <c:manualLayout>
          <c:xMode val="edge"/>
          <c:yMode val="edge"/>
          <c:x val="0.46665357524326184"/>
          <c:y val="3.655694206114348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Data'!$N$4:$N$12</c:f>
              <c:numCache>
                <c:formatCode>General</c:formatCode>
                <c:ptCount val="9"/>
                <c:pt idx="0">
                  <c:v>2E-3</c:v>
                </c:pt>
                <c:pt idx="1">
                  <c:v>1.4999999999999999E-2</c:v>
                </c:pt>
                <c:pt idx="2">
                  <c:v>1.7000000000000001E-2</c:v>
                </c:pt>
                <c:pt idx="3">
                  <c:v>1.7999999999999999E-2</c:v>
                </c:pt>
                <c:pt idx="4">
                  <c:v>2.1000000000000001E-2</c:v>
                </c:pt>
                <c:pt idx="5" formatCode="0.000">
                  <c:v>2.1999999999999999E-2</c:v>
                </c:pt>
                <c:pt idx="6">
                  <c:v>2.4E-2</c:v>
                </c:pt>
                <c:pt idx="7">
                  <c:v>2.5999999999999999E-2</c:v>
                </c:pt>
                <c:pt idx="8">
                  <c:v>4.3999999999999997E-2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84512"/>
        <c:axId val="146415616"/>
      </c:barChart>
      <c:catAx>
        <c:axId val="14398451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46415616"/>
        <c:crosses val="autoZero"/>
        <c:auto val="1"/>
        <c:lblAlgn val="ctr"/>
        <c:lblOffset val="100"/>
        <c:noMultiLvlLbl val="0"/>
      </c:catAx>
      <c:valAx>
        <c:axId val="146415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400"/>
                </a:pPr>
                <a:r>
                  <a:rPr lang="en-US" sz="1000" b="1" i="0" baseline="0">
                    <a:effectLst/>
                  </a:rPr>
                  <a:t>Abs. @ </a:t>
                </a:r>
                <a:r>
                  <a:rPr lang="el-GR" sz="1000" b="1" i="0" baseline="0">
                    <a:effectLst/>
                  </a:rPr>
                  <a:t>λ</a:t>
                </a:r>
                <a:r>
                  <a:rPr lang="nb-NO" sz="1000" b="1" i="0" baseline="0">
                    <a:effectLst/>
                  </a:rPr>
                  <a:t>400</a:t>
                </a:r>
                <a:r>
                  <a:rPr lang="en-US" sz="1000" b="1" i="0" baseline="0">
                    <a:effectLst/>
                  </a:rPr>
                  <a:t>nm</a:t>
                </a:r>
                <a:endParaRPr lang="nb-NO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056910002846936E-2"/>
              <c:y val="0.20729658792650918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crossAx val="14398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90171429959011"/>
          <c:y val="5.0942734314286198E-2"/>
          <c:w val="0.78959498604998413"/>
          <c:h val="0.736813335101249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1748282962088373E-2"/>
                  <c:y val="0.38582494896471276"/>
                </c:manualLayout>
              </c:layout>
              <c:numFmt formatCode="General" sourceLinked="0"/>
            </c:trendlineLbl>
          </c:trendline>
          <c:xVal>
            <c:numRef>
              <c:f>'2016 Data'!$AX$4:$AX$12</c:f>
              <c:numCache>
                <c:formatCode>0</c:formatCode>
                <c:ptCount val="9"/>
                <c:pt idx="0" formatCode="0.0">
                  <c:v>78.555893866898671</c:v>
                </c:pt>
                <c:pt idx="1">
                  <c:v>448.15137016093956</c:v>
                </c:pt>
                <c:pt idx="2">
                  <c:v>883.03610265332759</c:v>
                </c:pt>
                <c:pt idx="3">
                  <c:v>318.35580687255333</c:v>
                </c:pt>
                <c:pt idx="4">
                  <c:v>623.35798173118746</c:v>
                </c:pt>
                <c:pt idx="5" formatCode="0.0">
                  <c:v>61.85297955632884</c:v>
                </c:pt>
                <c:pt idx="6">
                  <c:v>135.6241844280122</c:v>
                </c:pt>
                <c:pt idx="7">
                  <c:v>644.28012179208349</c:v>
                </c:pt>
                <c:pt idx="8">
                  <c:v>209.09090909090912</c:v>
                </c:pt>
              </c:numCache>
            </c:numRef>
          </c:xVal>
          <c:yVal>
            <c:numRef>
              <c:f>'2016 Data'!$BB$4:$BB$12</c:f>
              <c:numCache>
                <c:formatCode>0</c:formatCode>
                <c:ptCount val="9"/>
                <c:pt idx="0" formatCode="0.0">
                  <c:v>22.288663864835129</c:v>
                </c:pt>
                <c:pt idx="1">
                  <c:v>365.05514342932895</c:v>
                </c:pt>
                <c:pt idx="2">
                  <c:v>1126.3729444616818</c:v>
                </c:pt>
                <c:pt idx="3">
                  <c:v>348.82238456548106</c:v>
                </c:pt>
                <c:pt idx="4">
                  <c:v>869.66688291540902</c:v>
                </c:pt>
                <c:pt idx="5" formatCode="0.0">
                  <c:v>52.020985530138489</c:v>
                </c:pt>
                <c:pt idx="6">
                  <c:v>167.00984401884185</c:v>
                </c:pt>
                <c:pt idx="7">
                  <c:v>885.91374495811351</c:v>
                </c:pt>
                <c:pt idx="8">
                  <c:v>238.81758948466981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00640"/>
        <c:axId val="180683904"/>
      </c:scatterChart>
      <c:valAx>
        <c:axId val="14720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</a:t>
                </a:r>
                <a:r>
                  <a:rPr lang="en-US" baseline="30000"/>
                  <a:t>+</a:t>
                </a:r>
                <a:r>
                  <a:rPr lang="en-US" baseline="0"/>
                  <a:t> </a:t>
                </a:r>
                <a:r>
                  <a:rPr lang="en-US"/>
                  <a:t>(µeq/L)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0683904"/>
        <c:crosses val="autoZero"/>
        <c:crossBetween val="midCat"/>
      </c:valAx>
      <c:valAx>
        <c:axId val="180683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</a:t>
                </a:r>
                <a:r>
                  <a:rPr lang="en-US" baseline="30000"/>
                  <a:t>- </a:t>
                </a:r>
                <a:r>
                  <a:rPr lang="en-US"/>
                  <a:t>(µeq/L)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47200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'2016 Data'!$AL$2</c:f>
              <c:strCache>
                <c:ptCount val="1"/>
                <c:pt idx="0">
                  <c:v>Free PO4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Data'!$AL$4:$AL$12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17</c:v>
                </c:pt>
                <c:pt idx="4">
                  <c:v>13</c:v>
                </c:pt>
                <c:pt idx="5">
                  <c:v>10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</c:ser>
        <c:ser>
          <c:idx val="1"/>
          <c:order val="1"/>
          <c:tx>
            <c:strRef>
              <c:f>'2016 Data'!$AO$2</c:f>
              <c:strCache>
                <c:ptCount val="1"/>
                <c:pt idx="0">
                  <c:v>DOP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Data'!$AO$4:$AO$12</c:f>
              <c:numCache>
                <c:formatCode>0.0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 formatCode="0">
                  <c:v>13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938240"/>
        <c:axId val="198647808"/>
      </c:barChart>
      <c:catAx>
        <c:axId val="18093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647808"/>
        <c:crosses val="autoZero"/>
        <c:auto val="1"/>
        <c:lblAlgn val="ctr"/>
        <c:lblOffset val="100"/>
        <c:noMultiLvlLbl val="0"/>
      </c:catAx>
      <c:valAx>
        <c:axId val="198647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ug P/L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8093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76284447605636541"/>
          <c:h val="0.81794315280278862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'2016 Data'!$AV$2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Data'!$AV$17:$AV$42</c:f>
              <c:numCache>
                <c:formatCode>0</c:formatCode>
                <c:ptCount val="26"/>
                <c:pt idx="0">
                  <c:v>286.19192574479763</c:v>
                </c:pt>
                <c:pt idx="3">
                  <c:v>1294.2262587953487</c:v>
                </c:pt>
                <c:pt idx="6">
                  <c:v>1169.2699236488845</c:v>
                </c:pt>
                <c:pt idx="9">
                  <c:v>749.28888667099159</c:v>
                </c:pt>
                <c:pt idx="12">
                  <c:v>1025.101052946754</c:v>
                </c:pt>
                <c:pt idx="15">
                  <c:v>107.1909775936923</c:v>
                </c:pt>
                <c:pt idx="18">
                  <c:v>181.54598532860919</c:v>
                </c:pt>
                <c:pt idx="21">
                  <c:v>990.11926742851438</c:v>
                </c:pt>
                <c:pt idx="24" formatCode="0.0">
                  <c:v>214.53166325664955</c:v>
                </c:pt>
              </c:numCache>
            </c:numRef>
          </c:val>
        </c:ser>
        <c:ser>
          <c:idx val="3"/>
          <c:order val="1"/>
          <c:tx>
            <c:strRef>
              <c:f>'2016 Data'!$AW$2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Data'!$AW$17:$AW$42</c:f>
              <c:numCache>
                <c:formatCode>0.0</c:formatCode>
                <c:ptCount val="26"/>
                <c:pt idx="0">
                  <c:v>101.84271141822967</c:v>
                </c:pt>
                <c:pt idx="3">
                  <c:v>306.43303718328394</c:v>
                </c:pt>
                <c:pt idx="6">
                  <c:v>251.64527805199077</c:v>
                </c:pt>
                <c:pt idx="9" formatCode="0">
                  <c:v>209.52615992102668</c:v>
                </c:pt>
                <c:pt idx="12" formatCode="0">
                  <c:v>360.15136558078314</c:v>
                </c:pt>
                <c:pt idx="15" formatCode="0">
                  <c:v>138.94373149062193</c:v>
                </c:pt>
                <c:pt idx="18" formatCode="0">
                  <c:v>77.65712405396512</c:v>
                </c:pt>
                <c:pt idx="21">
                  <c:v>237.57815070746955</c:v>
                </c:pt>
                <c:pt idx="24">
                  <c:v>85.636722606120429</c:v>
                </c:pt>
              </c:numCache>
            </c:numRef>
          </c:val>
        </c:ser>
        <c:ser>
          <c:idx val="4"/>
          <c:order val="2"/>
          <c:tx>
            <c:strRef>
              <c:f>'2016 Data'!$AX$2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Data'!$AX$17:$AX$42</c:f>
              <c:numCache>
                <c:formatCode>0.00</c:formatCode>
                <c:ptCount val="26"/>
                <c:pt idx="0" formatCode="0.0">
                  <c:v>78.555893866898671</c:v>
                </c:pt>
                <c:pt idx="3" formatCode="0.0">
                  <c:v>448.15137016093956</c:v>
                </c:pt>
                <c:pt idx="6" formatCode="0">
                  <c:v>883.03610265332759</c:v>
                </c:pt>
                <c:pt idx="9" formatCode="0">
                  <c:v>318.35580687255333</c:v>
                </c:pt>
                <c:pt idx="12" formatCode="0">
                  <c:v>623.35798173118746</c:v>
                </c:pt>
                <c:pt idx="15" formatCode="0">
                  <c:v>61.85297955632884</c:v>
                </c:pt>
                <c:pt idx="18" formatCode="0">
                  <c:v>135.6241844280122</c:v>
                </c:pt>
                <c:pt idx="21" formatCode="0">
                  <c:v>644.28012179208349</c:v>
                </c:pt>
                <c:pt idx="24">
                  <c:v>209.09090909090912</c:v>
                </c:pt>
              </c:numCache>
            </c:numRef>
          </c:val>
        </c:ser>
        <c:ser>
          <c:idx val="5"/>
          <c:order val="3"/>
          <c:tx>
            <c:strRef>
              <c:f>'2016 Data'!$AY$2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Data'!$AY$17:$AY$42</c:f>
              <c:numCache>
                <c:formatCode>0.00</c:formatCode>
                <c:ptCount val="26"/>
                <c:pt idx="0">
                  <c:v>15.191038821543655</c:v>
                </c:pt>
                <c:pt idx="3">
                  <c:v>47.312157945885126</c:v>
                </c:pt>
                <c:pt idx="6">
                  <c:v>96.261060815303566</c:v>
                </c:pt>
                <c:pt idx="9" formatCode="0.0">
                  <c:v>38.335635005882061</c:v>
                </c:pt>
                <c:pt idx="12" formatCode="0.0">
                  <c:v>82.220858268119287</c:v>
                </c:pt>
                <c:pt idx="15" formatCode="0.0">
                  <c:v>11.406066185872847</c:v>
                </c:pt>
                <c:pt idx="18" formatCode="0.0">
                  <c:v>15.165464682113447</c:v>
                </c:pt>
                <c:pt idx="21">
                  <c:v>105.1352871975858</c:v>
                </c:pt>
                <c:pt idx="24">
                  <c:v>20.945220193340493</c:v>
                </c:pt>
              </c:numCache>
            </c:numRef>
          </c:val>
        </c:ser>
        <c:ser>
          <c:idx val="1"/>
          <c:order val="4"/>
          <c:tx>
            <c:strRef>
              <c:f>'2016 Data'!$AU$2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Data'!$AU$17:$AU$42</c:f>
              <c:numCache>
                <c:formatCode>0.00</c:formatCode>
                <c:ptCount val="26"/>
                <c:pt idx="0">
                  <c:v>4.2657951880159237E-2</c:v>
                </c:pt>
                <c:pt idx="3">
                  <c:v>2.9512092266663778E-2</c:v>
                </c:pt>
                <c:pt idx="6">
                  <c:v>5.3703179637025193E-2</c:v>
                </c:pt>
                <c:pt idx="9">
                  <c:v>5.3703179637025193E-2</c:v>
                </c:pt>
                <c:pt idx="12">
                  <c:v>2.8183829312644466E-2</c:v>
                </c:pt>
                <c:pt idx="15">
                  <c:v>0.13489628825916511</c:v>
                </c:pt>
                <c:pt idx="18">
                  <c:v>6.3095734448019178E-2</c:v>
                </c:pt>
                <c:pt idx="21">
                  <c:v>3.5481338923357426E-2</c:v>
                </c:pt>
                <c:pt idx="24">
                  <c:v>0.3981071705534962</c:v>
                </c:pt>
              </c:numCache>
            </c:numRef>
          </c:val>
        </c:ser>
        <c:ser>
          <c:idx val="11"/>
          <c:order val="5"/>
          <c:tx>
            <c:strRef>
              <c:f>'2016 Data'!$BE$2</c:f>
              <c:strCache>
                <c:ptCount val="1"/>
                <c:pt idx="0">
                  <c:v>HCO3-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Data'!$BE$17:$BE$42</c:f>
              <c:numCache>
                <c:formatCode>0</c:formatCode>
                <c:ptCount val="26"/>
                <c:pt idx="1">
                  <c:v>229.87016860948842</c:v>
                </c:pt>
                <c:pt idx="4">
                  <c:v>1728.1622399577157</c:v>
                </c:pt>
                <c:pt idx="7">
                  <c:v>1184.4084453820644</c:v>
                </c:pt>
                <c:pt idx="10">
                  <c:v>804.38670492384927</c:v>
                </c:pt>
                <c:pt idx="13">
                  <c:v>1087.2379605889178</c:v>
                </c:pt>
                <c:pt idx="16">
                  <c:v>92.79046703439333</c:v>
                </c:pt>
                <c:pt idx="19">
                  <c:v>174.99145251504308</c:v>
                </c:pt>
                <c:pt idx="22">
                  <c:v>882.5810401491342</c:v>
                </c:pt>
                <c:pt idx="25">
                  <c:v>217.80097706716245</c:v>
                </c:pt>
              </c:numCache>
            </c:numRef>
          </c:val>
        </c:ser>
        <c:ser>
          <c:idx val="6"/>
          <c:order val="6"/>
          <c:tx>
            <c:strRef>
              <c:f>'2016 Data'!$AZ$2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Data'!$AZ$17:$AZ$42</c:f>
              <c:numCache>
                <c:formatCode>0.0</c:formatCode>
                <c:ptCount val="26"/>
                <c:pt idx="1">
                  <c:v>163.76998667554966</c:v>
                </c:pt>
                <c:pt idx="4" formatCode="0">
                  <c:v>163.54930046635576</c:v>
                </c:pt>
                <c:pt idx="7">
                  <c:v>434.40622918054635</c:v>
                </c:pt>
                <c:pt idx="10" formatCode="0">
                  <c:v>283.83369420386413</c:v>
                </c:pt>
                <c:pt idx="13" formatCode="0">
                  <c:v>299.31712191872083</c:v>
                </c:pt>
                <c:pt idx="16" formatCode="0">
                  <c:v>38.603431045969359</c:v>
                </c:pt>
                <c:pt idx="19" formatCode="0">
                  <c:v>71.108844103930721</c:v>
                </c:pt>
                <c:pt idx="22">
                  <c:v>389.35084943371089</c:v>
                </c:pt>
                <c:pt idx="25">
                  <c:v>54.467854763491012</c:v>
                </c:pt>
              </c:numCache>
            </c:numRef>
          </c:val>
        </c:ser>
        <c:ser>
          <c:idx val="7"/>
          <c:order val="7"/>
          <c:tx>
            <c:strRef>
              <c:f>'2016 Data'!$BA$2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Data'!$BA$17:$BA$42</c:f>
              <c:numCache>
                <c:formatCode>0.0</c:formatCode>
                <c:ptCount val="26"/>
                <c:pt idx="1">
                  <c:v>3.5560673282080804</c:v>
                </c:pt>
                <c:pt idx="4">
                  <c:v>0</c:v>
                </c:pt>
                <c:pt idx="7">
                  <c:v>17.722278398947211</c:v>
                </c:pt>
                <c:pt idx="10">
                  <c:v>21.486387761322568</c:v>
                </c:pt>
                <c:pt idx="13">
                  <c:v>93.570533506862958</c:v>
                </c:pt>
                <c:pt idx="16">
                  <c:v>10.079555918957146</c:v>
                </c:pt>
                <c:pt idx="19">
                  <c:v>10.244054271554525</c:v>
                </c:pt>
                <c:pt idx="22">
                  <c:v>46.277257135116038</c:v>
                </c:pt>
                <c:pt idx="25">
                  <c:v>4.6736884885020489</c:v>
                </c:pt>
              </c:numCache>
            </c:numRef>
          </c:val>
        </c:ser>
        <c:ser>
          <c:idx val="8"/>
          <c:order val="8"/>
          <c:tx>
            <c:strRef>
              <c:f>'2016 Data'!$BB$2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Data'!$BB$17:$BB$42</c:f>
              <c:numCache>
                <c:formatCode>0.0</c:formatCode>
                <c:ptCount val="26"/>
                <c:pt idx="1">
                  <c:v>22.288663864835129</c:v>
                </c:pt>
                <c:pt idx="4">
                  <c:v>365.05514342932895</c:v>
                </c:pt>
                <c:pt idx="7" formatCode="0">
                  <c:v>1126.3729444616818</c:v>
                </c:pt>
                <c:pt idx="10" formatCode="0">
                  <c:v>348.82238456548106</c:v>
                </c:pt>
                <c:pt idx="13" formatCode="0">
                  <c:v>869.66688291540902</c:v>
                </c:pt>
                <c:pt idx="16" formatCode="0">
                  <c:v>52.020985530138489</c:v>
                </c:pt>
                <c:pt idx="19" formatCode="0">
                  <c:v>167.00984401884185</c:v>
                </c:pt>
                <c:pt idx="22" formatCode="0">
                  <c:v>885.91374495811351</c:v>
                </c:pt>
                <c:pt idx="25">
                  <c:v>238.81758948466981</c:v>
                </c:pt>
              </c:numCache>
            </c:numRef>
          </c:val>
        </c:ser>
        <c:ser>
          <c:idx val="9"/>
          <c:order val="9"/>
          <c:tx>
            <c:strRef>
              <c:f>'2016 Data'!$BC$2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Data'!$BC$17:$BC$42</c:f>
              <c:numCache>
                <c:formatCode>0.0</c:formatCode>
                <c:ptCount val="26"/>
                <c:pt idx="1">
                  <c:v>2.0949573639330459</c:v>
                </c:pt>
                <c:pt idx="4">
                  <c:v>2.0896936519633647</c:v>
                </c:pt>
                <c:pt idx="7">
                  <c:v>0</c:v>
                </c:pt>
                <c:pt idx="10">
                  <c:v>4.3478260869565215</c:v>
                </c:pt>
                <c:pt idx="13">
                  <c:v>14.548899884198335</c:v>
                </c:pt>
                <c:pt idx="16">
                  <c:v>2.5739551531740181</c:v>
                </c:pt>
                <c:pt idx="19">
                  <c:v>3.0476892304453096</c:v>
                </c:pt>
                <c:pt idx="22">
                  <c:v>47.262869775765864</c:v>
                </c:pt>
                <c:pt idx="25">
                  <c:v>2.2160227392357088</c:v>
                </c:pt>
              </c:numCache>
            </c:numRef>
          </c:val>
        </c:ser>
        <c:ser>
          <c:idx val="10"/>
          <c:order val="10"/>
          <c:tx>
            <c:strRef>
              <c:f>'2016 Data'!$BD$2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Data'!$BD$17:$BD$42</c:f>
              <c:numCache>
                <c:formatCode>0.0</c:formatCode>
                <c:ptCount val="26"/>
                <c:pt idx="1">
                  <c:v>0.8718114304165322</c:v>
                </c:pt>
                <c:pt idx="4">
                  <c:v>0.8718114304165322</c:v>
                </c:pt>
                <c:pt idx="7">
                  <c:v>1.0655473038424281</c:v>
                </c:pt>
                <c:pt idx="10">
                  <c:v>1.646754924120116</c:v>
                </c:pt>
                <c:pt idx="13">
                  <c:v>1.2592831772683242</c:v>
                </c:pt>
                <c:pt idx="16">
                  <c:v>0.96867936712948011</c:v>
                </c:pt>
                <c:pt idx="19">
                  <c:v>0.77494349370358417</c:v>
                </c:pt>
                <c:pt idx="22">
                  <c:v>1.1624152405553763</c:v>
                </c:pt>
                <c:pt idx="25">
                  <c:v>1.1624152405553763</c:v>
                </c:pt>
              </c:numCache>
            </c:numRef>
          </c:val>
        </c:ser>
        <c:ser>
          <c:idx val="0"/>
          <c:order val="11"/>
          <c:tx>
            <c:strRef>
              <c:f>'2016 Data'!$AQ$2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Data'!$BF$17:$BF$42</c:f>
              <c:numCache>
                <c:formatCode>0.0</c:formatCode>
                <c:ptCount val="26"/>
                <c:pt idx="1">
                  <c:v>10.57395169773322</c:v>
                </c:pt>
                <c:pt idx="4">
                  <c:v>42.174444440542096</c:v>
                </c:pt>
                <c:pt idx="7">
                  <c:v>41.91997342087334</c:v>
                </c:pt>
                <c:pt idx="10">
                  <c:v>47.96273623461267</c:v>
                </c:pt>
                <c:pt idx="13">
                  <c:v>33.046027373677809</c:v>
                </c:pt>
                <c:pt idx="16">
                  <c:v>23.653447858664666</c:v>
                </c:pt>
                <c:pt idx="19">
                  <c:v>22.34565427618988</c:v>
                </c:pt>
                <c:pt idx="22">
                  <c:v>67.768915225513211</c:v>
                </c:pt>
                <c:pt idx="25">
                  <c:v>45.131939188031552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1858304"/>
        <c:axId val="101905920"/>
      </c:barChart>
      <c:catAx>
        <c:axId val="10185830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01905920"/>
        <c:crosses val="autoZero"/>
        <c:auto val="1"/>
        <c:lblAlgn val="ctr"/>
        <c:lblOffset val="100"/>
        <c:noMultiLvlLbl val="0"/>
      </c:catAx>
      <c:valAx>
        <c:axId val="101905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0185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24079303942739"/>
          <c:y val="8.3069494090950616E-2"/>
          <c:w val="9.5759236179133428E-2"/>
          <c:h val="0.66019367903211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Free NO</a:t>
            </a:r>
            <a:r>
              <a:rPr lang="en-US" baseline="-25000"/>
              <a:t>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'2016 Data'!$AL$2</c:f>
              <c:strCache>
                <c:ptCount val="1"/>
                <c:pt idx="0">
                  <c:v>Free PO4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Data'!$AE$4:$AE$12</c:f>
              <c:numCache>
                <c:formatCode>General</c:formatCode>
                <c:ptCount val="9"/>
                <c:pt idx="0" formatCode="0.00">
                  <c:v>0.2205</c:v>
                </c:pt>
                <c:pt idx="2" formatCode="0.00">
                  <c:v>1.0989</c:v>
                </c:pt>
                <c:pt idx="3" formatCode="0.00">
                  <c:v>1.3323</c:v>
                </c:pt>
                <c:pt idx="4" formatCode="0.00">
                  <c:v>5.8019999999999996</c:v>
                </c:pt>
                <c:pt idx="5" formatCode="0.00">
                  <c:v>0.625</c:v>
                </c:pt>
                <c:pt idx="6" formatCode="0.00">
                  <c:v>0.63519999999999999</c:v>
                </c:pt>
                <c:pt idx="7" formatCode="0.00">
                  <c:v>2.8694999999999999</c:v>
                </c:pt>
                <c:pt idx="8" formatCode="0.00">
                  <c:v>0.2898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950912"/>
        <c:axId val="198952832"/>
      </c:barChart>
      <c:catAx>
        <c:axId val="19895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8952832"/>
        <c:crosses val="autoZero"/>
        <c:auto val="1"/>
        <c:lblAlgn val="ctr"/>
        <c:lblOffset val="100"/>
        <c:noMultiLvlLbl val="0"/>
      </c:catAx>
      <c:valAx>
        <c:axId val="198952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ug P/L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9895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8159786882764402"/>
                  <c:y val="4.2289051217995338E-2"/>
                </c:manualLayout>
              </c:layout>
              <c:numFmt formatCode="General" sourceLinked="0"/>
            </c:trendlineLbl>
          </c:trendline>
          <c:xVal>
            <c:numRef>
              <c:f>'2016 Data'!$CG$4:$CG$12</c:f>
              <c:numCache>
                <c:formatCode>0.0</c:formatCode>
                <c:ptCount val="9"/>
                <c:pt idx="0">
                  <c:v>5.43</c:v>
                </c:pt>
                <c:pt idx="1">
                  <c:v>22.9</c:v>
                </c:pt>
                <c:pt idx="2">
                  <c:v>36.200000000000003</c:v>
                </c:pt>
                <c:pt idx="3">
                  <c:v>16.14</c:v>
                </c:pt>
                <c:pt idx="4">
                  <c:v>26.8</c:v>
                </c:pt>
                <c:pt idx="5">
                  <c:v>2.5</c:v>
                </c:pt>
                <c:pt idx="6">
                  <c:v>5.13</c:v>
                </c:pt>
                <c:pt idx="7">
                  <c:v>26.7</c:v>
                </c:pt>
                <c:pt idx="8">
                  <c:v>6.39</c:v>
                </c:pt>
              </c:numCache>
            </c:numRef>
          </c:xVal>
          <c:yVal>
            <c:numRef>
              <c:f>'2016 Data'!$CF$4:$CF$12</c:f>
              <c:numCache>
                <c:formatCode>0.0</c:formatCode>
                <c:ptCount val="9"/>
                <c:pt idx="0">
                  <c:v>3.9465389981551562</c:v>
                </c:pt>
                <c:pt idx="1">
                  <c:v>14.123945860161712</c:v>
                </c:pt>
                <c:pt idx="2">
                  <c:v>22.689307650877129</c:v>
                </c:pt>
                <c:pt idx="3">
                  <c:v>11.287375243632212</c:v>
                </c:pt>
                <c:pt idx="4">
                  <c:v>19.091860526544544</c:v>
                </c:pt>
                <c:pt idx="5">
                  <c:v>2.4245469143368412</c:v>
                </c:pt>
                <c:pt idx="6">
                  <c:v>3.9872769878879417</c:v>
                </c:pt>
                <c:pt idx="7">
                  <c:v>19.042441327408458</c:v>
                </c:pt>
                <c:pt idx="8">
                  <c:v>4.9666585430388386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35232"/>
        <c:axId val="199137536"/>
      </c:scatterChart>
      <c:valAx>
        <c:axId val="19913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Measured mS/cm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9137536"/>
        <c:crosses val="autoZero"/>
        <c:crossBetween val="midCat"/>
      </c:valAx>
      <c:valAx>
        <c:axId val="199137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Calculated ms/cm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9135232"/>
        <c:crosses val="autoZero"/>
        <c:crossBetween val="midCat"/>
      </c:valAx>
      <c:spPr>
        <a:ln>
          <a:solidFill>
            <a:schemeClr val="lt1">
              <a:shade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IB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939129483814522"/>
          <c:y val="0.12084499854184894"/>
          <c:w val="0.80188648293963249"/>
          <c:h val="0.827279819189267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'2016 Data'!$BE$4:$BE$12</c:f>
              <c:numCache>
                <c:formatCode>0</c:formatCode>
                <c:ptCount val="9"/>
                <c:pt idx="0">
                  <c:v>229.87016860948842</c:v>
                </c:pt>
                <c:pt idx="1">
                  <c:v>1728.1622399577157</c:v>
                </c:pt>
                <c:pt idx="2">
                  <c:v>1184.4084453820644</c:v>
                </c:pt>
                <c:pt idx="3">
                  <c:v>804.38670492384927</c:v>
                </c:pt>
                <c:pt idx="4">
                  <c:v>1087.2379605889178</c:v>
                </c:pt>
                <c:pt idx="5">
                  <c:v>92.79046703439333</c:v>
                </c:pt>
                <c:pt idx="6">
                  <c:v>174.99145251504308</c:v>
                </c:pt>
                <c:pt idx="7">
                  <c:v>882.5810401491342</c:v>
                </c:pt>
                <c:pt idx="8">
                  <c:v>217.80097706716245</c:v>
                </c:pt>
              </c:numCache>
            </c:numRef>
          </c:xVal>
          <c:yVal>
            <c:numRef>
              <c:f>'2016 Data'!$BI$4:$BI$12</c:f>
              <c:numCache>
                <c:formatCode>0</c:formatCode>
                <c:ptCount val="9"/>
                <c:pt idx="0">
                  <c:v>5.3340580036576792</c:v>
                </c:pt>
                <c:pt idx="1">
                  <c:v>-4.6782111324875242</c:v>
                </c:pt>
                <c:pt idx="2">
                  <c:v>-7.7913324596416702</c:v>
                </c:pt>
                <c:pt idx="3">
                  <c:v>-6.9633326217134197</c:v>
                </c:pt>
                <c:pt idx="4">
                  <c:v>-6.8557043159612894</c:v>
                </c:pt>
                <c:pt idx="5">
                  <c:v>18.295931381558653</c:v>
                </c:pt>
                <c:pt idx="6">
                  <c:v>-4.5913939455399806</c:v>
                </c:pt>
                <c:pt idx="7">
                  <c:v>-7.9853762969863542</c:v>
                </c:pt>
                <c:pt idx="8">
                  <c:v>-3.0750471783832318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16448"/>
        <c:axId val="199423488"/>
      </c:scatterChart>
      <c:valAx>
        <c:axId val="19941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 corr. HCO3- (µeq/L)</a:t>
                </a:r>
              </a:p>
            </c:rich>
          </c:tx>
          <c:layout>
            <c:manualLayout>
              <c:xMode val="edge"/>
              <c:yMode val="edge"/>
              <c:x val="0.66770953630796148"/>
              <c:y val="0.3555322251385243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99423488"/>
        <c:crosses val="autoZero"/>
        <c:crossBetween val="midCat"/>
      </c:valAx>
      <c:valAx>
        <c:axId val="1994234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IB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99416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6.3867454068241472E-2"/>
                  <c:y val="-0.33858413531641879"/>
                </c:manualLayout>
              </c:layout>
              <c:numFmt formatCode="General" sourceLinked="0"/>
            </c:trendlineLbl>
          </c:trendline>
          <c:xVal>
            <c:numRef>
              <c:f>'2016 Data'!$P$4:$P$12</c:f>
              <c:numCache>
                <c:formatCode>0.00</c:formatCode>
                <c:ptCount val="9"/>
                <c:pt idx="0">
                  <c:v>1.9470000000000001</c:v>
                </c:pt>
                <c:pt idx="1">
                  <c:v>7.7439999999999998</c:v>
                </c:pt>
                <c:pt idx="2">
                  <c:v>7.7350000000000003</c:v>
                </c:pt>
                <c:pt idx="3">
                  <c:v>8.85</c:v>
                </c:pt>
                <c:pt idx="4">
                  <c:v>6.0659999999999998</c:v>
                </c:pt>
                <c:pt idx="5">
                  <c:v>4.4169999999999998</c:v>
                </c:pt>
                <c:pt idx="6">
                  <c:v>4.13</c:v>
                </c:pt>
                <c:pt idx="7">
                  <c:v>12.46</c:v>
                </c:pt>
                <c:pt idx="8">
                  <c:v>8.6389999999999993</c:v>
                </c:pt>
              </c:numCache>
            </c:numRef>
          </c:xVal>
          <c:yVal>
            <c:numRef>
              <c:f>'2016 Data'!$I$4:$I$12</c:f>
              <c:numCache>
                <c:formatCode>0.00</c:formatCode>
                <c:ptCount val="9"/>
                <c:pt idx="0">
                  <c:v>7.37</c:v>
                </c:pt>
                <c:pt idx="1">
                  <c:v>7.53</c:v>
                </c:pt>
                <c:pt idx="2">
                  <c:v>7.27</c:v>
                </c:pt>
                <c:pt idx="3">
                  <c:v>7.27</c:v>
                </c:pt>
                <c:pt idx="4">
                  <c:v>7.55</c:v>
                </c:pt>
                <c:pt idx="5">
                  <c:v>6.87</c:v>
                </c:pt>
                <c:pt idx="6">
                  <c:v>7.2</c:v>
                </c:pt>
                <c:pt idx="7">
                  <c:v>7.45</c:v>
                </c:pt>
                <c:pt idx="8">
                  <c:v>6.4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04640"/>
        <c:axId val="199911680"/>
      </c:scatterChart>
      <c:valAx>
        <c:axId val="1999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DOC mg C/L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99911680"/>
        <c:crosses val="autoZero"/>
        <c:crossBetween val="midCat"/>
      </c:valAx>
      <c:valAx>
        <c:axId val="199911680"/>
        <c:scaling>
          <c:orientation val="minMax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99904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3073556040773"/>
          <c:y val="2.6085212706167381E-2"/>
          <c:w val="0.76284447605636541"/>
          <c:h val="0.81794315280278862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'2016 Data'!$AV$2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Data'!$AV$17:$AV$42</c:f>
              <c:numCache>
                <c:formatCode>0</c:formatCode>
                <c:ptCount val="26"/>
                <c:pt idx="0">
                  <c:v>286.19192574479763</c:v>
                </c:pt>
                <c:pt idx="3">
                  <c:v>1294.2262587953487</c:v>
                </c:pt>
                <c:pt idx="6">
                  <c:v>1169.2699236488845</c:v>
                </c:pt>
                <c:pt idx="9">
                  <c:v>749.28888667099159</c:v>
                </c:pt>
                <c:pt idx="12">
                  <c:v>1025.101052946754</c:v>
                </c:pt>
                <c:pt idx="15">
                  <c:v>107.1909775936923</c:v>
                </c:pt>
                <c:pt idx="18">
                  <c:v>181.54598532860919</c:v>
                </c:pt>
                <c:pt idx="21">
                  <c:v>990.11926742851438</c:v>
                </c:pt>
                <c:pt idx="24" formatCode="0.0">
                  <c:v>214.53166325664955</c:v>
                </c:pt>
              </c:numCache>
            </c:numRef>
          </c:val>
        </c:ser>
        <c:ser>
          <c:idx val="3"/>
          <c:order val="1"/>
          <c:tx>
            <c:strRef>
              <c:f>'2016 Data'!$AW$2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Data'!$AW$17:$AW$42</c:f>
              <c:numCache>
                <c:formatCode>0.0</c:formatCode>
                <c:ptCount val="26"/>
                <c:pt idx="0">
                  <c:v>101.84271141822967</c:v>
                </c:pt>
                <c:pt idx="3">
                  <c:v>306.43303718328394</c:v>
                </c:pt>
                <c:pt idx="6">
                  <c:v>251.64527805199077</c:v>
                </c:pt>
                <c:pt idx="9" formatCode="0">
                  <c:v>209.52615992102668</c:v>
                </c:pt>
                <c:pt idx="12" formatCode="0">
                  <c:v>360.15136558078314</c:v>
                </c:pt>
                <c:pt idx="15" formatCode="0">
                  <c:v>138.94373149062193</c:v>
                </c:pt>
                <c:pt idx="18" formatCode="0">
                  <c:v>77.65712405396512</c:v>
                </c:pt>
                <c:pt idx="21">
                  <c:v>237.57815070746955</c:v>
                </c:pt>
                <c:pt idx="24">
                  <c:v>85.636722606120429</c:v>
                </c:pt>
              </c:numCache>
            </c:numRef>
          </c:val>
        </c:ser>
        <c:ser>
          <c:idx val="4"/>
          <c:order val="2"/>
          <c:tx>
            <c:strRef>
              <c:f>'2016 Data'!$AX$2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Data'!$AX$17:$AX$42</c:f>
              <c:numCache>
                <c:formatCode>0.00</c:formatCode>
                <c:ptCount val="26"/>
                <c:pt idx="0" formatCode="0.0">
                  <c:v>78.555893866898671</c:v>
                </c:pt>
                <c:pt idx="3" formatCode="0.0">
                  <c:v>448.15137016093956</c:v>
                </c:pt>
                <c:pt idx="6" formatCode="0">
                  <c:v>883.03610265332759</c:v>
                </c:pt>
                <c:pt idx="9" formatCode="0">
                  <c:v>318.35580687255333</c:v>
                </c:pt>
                <c:pt idx="12" formatCode="0">
                  <c:v>623.35798173118746</c:v>
                </c:pt>
                <c:pt idx="15" formatCode="0">
                  <c:v>61.85297955632884</c:v>
                </c:pt>
                <c:pt idx="18" formatCode="0">
                  <c:v>135.6241844280122</c:v>
                </c:pt>
                <c:pt idx="21" formatCode="0">
                  <c:v>644.28012179208349</c:v>
                </c:pt>
                <c:pt idx="24">
                  <c:v>209.09090909090912</c:v>
                </c:pt>
              </c:numCache>
            </c:numRef>
          </c:val>
        </c:ser>
        <c:ser>
          <c:idx val="5"/>
          <c:order val="3"/>
          <c:tx>
            <c:strRef>
              <c:f>'2016 Data'!$AY$2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Data'!$AY$17:$AY$42</c:f>
              <c:numCache>
                <c:formatCode>0.00</c:formatCode>
                <c:ptCount val="26"/>
                <c:pt idx="0">
                  <c:v>15.191038821543655</c:v>
                </c:pt>
                <c:pt idx="3">
                  <c:v>47.312157945885126</c:v>
                </c:pt>
                <c:pt idx="6">
                  <c:v>96.261060815303566</c:v>
                </c:pt>
                <c:pt idx="9" formatCode="0.0">
                  <c:v>38.335635005882061</c:v>
                </c:pt>
                <c:pt idx="12" formatCode="0.0">
                  <c:v>82.220858268119287</c:v>
                </c:pt>
                <c:pt idx="15" formatCode="0.0">
                  <c:v>11.406066185872847</c:v>
                </c:pt>
                <c:pt idx="18" formatCode="0.0">
                  <c:v>15.165464682113447</c:v>
                </c:pt>
                <c:pt idx="21">
                  <c:v>105.1352871975858</c:v>
                </c:pt>
                <c:pt idx="24">
                  <c:v>20.945220193340493</c:v>
                </c:pt>
              </c:numCache>
            </c:numRef>
          </c:val>
        </c:ser>
        <c:ser>
          <c:idx val="1"/>
          <c:order val="4"/>
          <c:tx>
            <c:strRef>
              <c:f>'2016 Data'!$AU$2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Data'!$AU$17:$AU$42</c:f>
              <c:numCache>
                <c:formatCode>0.00</c:formatCode>
                <c:ptCount val="26"/>
                <c:pt idx="0">
                  <c:v>4.2657951880159237E-2</c:v>
                </c:pt>
                <c:pt idx="3">
                  <c:v>2.9512092266663778E-2</c:v>
                </c:pt>
                <c:pt idx="6">
                  <c:v>5.3703179637025193E-2</c:v>
                </c:pt>
                <c:pt idx="9">
                  <c:v>5.3703179637025193E-2</c:v>
                </c:pt>
                <c:pt idx="12">
                  <c:v>2.8183829312644466E-2</c:v>
                </c:pt>
                <c:pt idx="15">
                  <c:v>0.13489628825916511</c:v>
                </c:pt>
                <c:pt idx="18">
                  <c:v>6.3095734448019178E-2</c:v>
                </c:pt>
                <c:pt idx="21">
                  <c:v>3.5481338923357426E-2</c:v>
                </c:pt>
                <c:pt idx="24">
                  <c:v>0.3981071705534962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2943488"/>
        <c:axId val="203686656"/>
      </c:barChart>
      <c:catAx>
        <c:axId val="20294348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203686656"/>
        <c:crosses val="autoZero"/>
        <c:auto val="1"/>
        <c:lblAlgn val="ctr"/>
        <c:lblOffset val="100"/>
        <c:noMultiLvlLbl val="0"/>
      </c:catAx>
      <c:valAx>
        <c:axId val="203686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0294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24079303942739"/>
          <c:y val="8.3069494090950616E-2"/>
          <c:w val="9.5759236179133428E-2"/>
          <c:h val="0.66019367903211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76284447605636541"/>
          <c:h val="0.81794315280278862"/>
        </c:manualLayout>
      </c:layout>
      <c:barChart>
        <c:barDir val="col"/>
        <c:grouping val="percentStacked"/>
        <c:varyColors val="0"/>
        <c:ser>
          <c:idx val="11"/>
          <c:order val="0"/>
          <c:tx>
            <c:strRef>
              <c:f>'2016 Data'!$BE$2</c:f>
              <c:strCache>
                <c:ptCount val="1"/>
                <c:pt idx="0">
                  <c:v>HCO3-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Data'!$BE$17:$BE$42</c:f>
              <c:numCache>
                <c:formatCode>0</c:formatCode>
                <c:ptCount val="26"/>
                <c:pt idx="1">
                  <c:v>229.87016860948842</c:v>
                </c:pt>
                <c:pt idx="4">
                  <c:v>1728.1622399577157</c:v>
                </c:pt>
                <c:pt idx="7">
                  <c:v>1184.4084453820644</c:v>
                </c:pt>
                <c:pt idx="10">
                  <c:v>804.38670492384927</c:v>
                </c:pt>
                <c:pt idx="13">
                  <c:v>1087.2379605889178</c:v>
                </c:pt>
                <c:pt idx="16">
                  <c:v>92.79046703439333</c:v>
                </c:pt>
                <c:pt idx="19">
                  <c:v>174.99145251504308</c:v>
                </c:pt>
                <c:pt idx="22">
                  <c:v>882.5810401491342</c:v>
                </c:pt>
                <c:pt idx="25">
                  <c:v>217.80097706716245</c:v>
                </c:pt>
              </c:numCache>
            </c:numRef>
          </c:val>
        </c:ser>
        <c:ser>
          <c:idx val="6"/>
          <c:order val="1"/>
          <c:tx>
            <c:strRef>
              <c:f>'2016 Data'!$AZ$2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Data'!$AZ$17:$AZ$42</c:f>
              <c:numCache>
                <c:formatCode>0.0</c:formatCode>
                <c:ptCount val="26"/>
                <c:pt idx="1">
                  <c:v>163.76998667554966</c:v>
                </c:pt>
                <c:pt idx="4" formatCode="0">
                  <c:v>163.54930046635576</c:v>
                </c:pt>
                <c:pt idx="7">
                  <c:v>434.40622918054635</c:v>
                </c:pt>
                <c:pt idx="10" formatCode="0">
                  <c:v>283.83369420386413</c:v>
                </c:pt>
                <c:pt idx="13" formatCode="0">
                  <c:v>299.31712191872083</c:v>
                </c:pt>
                <c:pt idx="16" formatCode="0">
                  <c:v>38.603431045969359</c:v>
                </c:pt>
                <c:pt idx="19" formatCode="0">
                  <c:v>71.108844103930721</c:v>
                </c:pt>
                <c:pt idx="22">
                  <c:v>389.35084943371089</c:v>
                </c:pt>
                <c:pt idx="25">
                  <c:v>54.467854763491012</c:v>
                </c:pt>
              </c:numCache>
            </c:numRef>
          </c:val>
        </c:ser>
        <c:ser>
          <c:idx val="7"/>
          <c:order val="2"/>
          <c:tx>
            <c:strRef>
              <c:f>'2016 Data'!$BA$2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Data'!$BA$17:$BA$42</c:f>
              <c:numCache>
                <c:formatCode>0.0</c:formatCode>
                <c:ptCount val="26"/>
                <c:pt idx="1">
                  <c:v>3.5560673282080804</c:v>
                </c:pt>
                <c:pt idx="4">
                  <c:v>0</c:v>
                </c:pt>
                <c:pt idx="7">
                  <c:v>17.722278398947211</c:v>
                </c:pt>
                <c:pt idx="10">
                  <c:v>21.486387761322568</c:v>
                </c:pt>
                <c:pt idx="13">
                  <c:v>93.570533506862958</c:v>
                </c:pt>
                <c:pt idx="16">
                  <c:v>10.079555918957146</c:v>
                </c:pt>
                <c:pt idx="19">
                  <c:v>10.244054271554525</c:v>
                </c:pt>
                <c:pt idx="22">
                  <c:v>46.277257135116038</c:v>
                </c:pt>
                <c:pt idx="25">
                  <c:v>4.6736884885020489</c:v>
                </c:pt>
              </c:numCache>
            </c:numRef>
          </c:val>
        </c:ser>
        <c:ser>
          <c:idx val="8"/>
          <c:order val="3"/>
          <c:tx>
            <c:strRef>
              <c:f>'2016 Data'!$BB$2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Data'!$BB$17:$BB$42</c:f>
              <c:numCache>
                <c:formatCode>0.0</c:formatCode>
                <c:ptCount val="26"/>
                <c:pt idx="1">
                  <c:v>22.288663864835129</c:v>
                </c:pt>
                <c:pt idx="4">
                  <c:v>365.05514342932895</c:v>
                </c:pt>
                <c:pt idx="7" formatCode="0">
                  <c:v>1126.3729444616818</c:v>
                </c:pt>
                <c:pt idx="10" formatCode="0">
                  <c:v>348.82238456548106</c:v>
                </c:pt>
                <c:pt idx="13" formatCode="0">
                  <c:v>869.66688291540902</c:v>
                </c:pt>
                <c:pt idx="16" formatCode="0">
                  <c:v>52.020985530138489</c:v>
                </c:pt>
                <c:pt idx="19" formatCode="0">
                  <c:v>167.00984401884185</c:v>
                </c:pt>
                <c:pt idx="22" formatCode="0">
                  <c:v>885.91374495811351</c:v>
                </c:pt>
                <c:pt idx="25">
                  <c:v>238.81758948466981</c:v>
                </c:pt>
              </c:numCache>
            </c:numRef>
          </c:val>
        </c:ser>
        <c:ser>
          <c:idx val="9"/>
          <c:order val="4"/>
          <c:tx>
            <c:strRef>
              <c:f>'2016 Data'!$BC$2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Data'!$BC$17:$BC$42</c:f>
              <c:numCache>
                <c:formatCode>0.0</c:formatCode>
                <c:ptCount val="26"/>
                <c:pt idx="1">
                  <c:v>2.0949573639330459</c:v>
                </c:pt>
                <c:pt idx="4">
                  <c:v>2.0896936519633647</c:v>
                </c:pt>
                <c:pt idx="7">
                  <c:v>0</c:v>
                </c:pt>
                <c:pt idx="10">
                  <c:v>4.3478260869565215</c:v>
                </c:pt>
                <c:pt idx="13">
                  <c:v>14.548899884198335</c:v>
                </c:pt>
                <c:pt idx="16">
                  <c:v>2.5739551531740181</c:v>
                </c:pt>
                <c:pt idx="19">
                  <c:v>3.0476892304453096</c:v>
                </c:pt>
                <c:pt idx="22">
                  <c:v>47.262869775765864</c:v>
                </c:pt>
                <c:pt idx="25">
                  <c:v>2.2160227392357088</c:v>
                </c:pt>
              </c:numCache>
            </c:numRef>
          </c:val>
        </c:ser>
        <c:ser>
          <c:idx val="10"/>
          <c:order val="5"/>
          <c:tx>
            <c:strRef>
              <c:f>'2016 Data'!$BD$2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Data'!$BD$17:$BD$42</c:f>
              <c:numCache>
                <c:formatCode>0.0</c:formatCode>
                <c:ptCount val="26"/>
                <c:pt idx="1">
                  <c:v>0.8718114304165322</c:v>
                </c:pt>
                <c:pt idx="4">
                  <c:v>0.8718114304165322</c:v>
                </c:pt>
                <c:pt idx="7">
                  <c:v>1.0655473038424281</c:v>
                </c:pt>
                <c:pt idx="10">
                  <c:v>1.646754924120116</c:v>
                </c:pt>
                <c:pt idx="13">
                  <c:v>1.2592831772683242</c:v>
                </c:pt>
                <c:pt idx="16">
                  <c:v>0.96867936712948011</c:v>
                </c:pt>
                <c:pt idx="19">
                  <c:v>0.77494349370358417</c:v>
                </c:pt>
                <c:pt idx="22">
                  <c:v>1.1624152405553763</c:v>
                </c:pt>
                <c:pt idx="25">
                  <c:v>1.1624152405553763</c:v>
                </c:pt>
              </c:numCache>
            </c:numRef>
          </c:val>
        </c:ser>
        <c:ser>
          <c:idx val="0"/>
          <c:order val="6"/>
          <c:tx>
            <c:strRef>
              <c:f>'2016 Data'!$AQ$2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'2016 Data'!$AT$17:$AT$42</c:f>
              <c:strCache>
                <c:ptCount val="25"/>
                <c:pt idx="0">
                  <c:v>Lutvann</c:v>
                </c:pt>
                <c:pt idx="3">
                  <c:v>Nesøytjernet</c:v>
                </c:pt>
                <c:pt idx="6">
                  <c:v>Kolbotnvann</c:v>
                </c:pt>
                <c:pt idx="9">
                  <c:v>Østensjøvannet</c:v>
                </c:pt>
                <c:pt idx="12">
                  <c:v>Årungen</c:v>
                </c:pt>
                <c:pt idx="15">
                  <c:v>Maridalsvannet</c:v>
                </c:pt>
                <c:pt idx="18">
                  <c:v>Akerselva</c:v>
                </c:pt>
                <c:pt idx="21">
                  <c:v>Gjersjøen</c:v>
                </c:pt>
                <c:pt idx="24">
                  <c:v>Sværsvann</c:v>
                </c:pt>
              </c:strCache>
            </c:strRef>
          </c:cat>
          <c:val>
            <c:numRef>
              <c:f>'2016 Data'!$BF$17:$BF$42</c:f>
              <c:numCache>
                <c:formatCode>0.0</c:formatCode>
                <c:ptCount val="26"/>
                <c:pt idx="1">
                  <c:v>10.57395169773322</c:v>
                </c:pt>
                <c:pt idx="4">
                  <c:v>42.174444440542096</c:v>
                </c:pt>
                <c:pt idx="7">
                  <c:v>41.91997342087334</c:v>
                </c:pt>
                <c:pt idx="10">
                  <c:v>47.96273623461267</c:v>
                </c:pt>
                <c:pt idx="13">
                  <c:v>33.046027373677809</c:v>
                </c:pt>
                <c:pt idx="16">
                  <c:v>23.653447858664666</c:v>
                </c:pt>
                <c:pt idx="19">
                  <c:v>22.34565427618988</c:v>
                </c:pt>
                <c:pt idx="22">
                  <c:v>67.768915225513211</c:v>
                </c:pt>
                <c:pt idx="25">
                  <c:v>45.131939188031552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4028928"/>
        <c:axId val="204088064"/>
      </c:barChart>
      <c:catAx>
        <c:axId val="20402892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204088064"/>
        <c:crosses val="autoZero"/>
        <c:auto val="1"/>
        <c:lblAlgn val="ctr"/>
        <c:lblOffset val="100"/>
        <c:noMultiLvlLbl val="0"/>
      </c:catAx>
      <c:valAx>
        <c:axId val="204088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0402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24079303942739"/>
          <c:y val="8.3069494090950616E-2"/>
          <c:w val="9.5759236179133428E-2"/>
          <c:h val="0.66019367903211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'2016 Data'!$BE$4:$BE$12</c:f>
              <c:numCache>
                <c:formatCode>0</c:formatCode>
                <c:ptCount val="9"/>
                <c:pt idx="0">
                  <c:v>229.87016860948842</c:v>
                </c:pt>
                <c:pt idx="1">
                  <c:v>1728.1622399577157</c:v>
                </c:pt>
                <c:pt idx="2">
                  <c:v>1184.4084453820644</c:v>
                </c:pt>
                <c:pt idx="3">
                  <c:v>804.38670492384927</c:v>
                </c:pt>
                <c:pt idx="4">
                  <c:v>1087.2379605889178</c:v>
                </c:pt>
                <c:pt idx="5">
                  <c:v>92.79046703439333</c:v>
                </c:pt>
                <c:pt idx="6">
                  <c:v>174.99145251504308</c:v>
                </c:pt>
                <c:pt idx="7">
                  <c:v>882.5810401491342</c:v>
                </c:pt>
                <c:pt idx="8">
                  <c:v>217.80097706716245</c:v>
                </c:pt>
              </c:numCache>
            </c:numRef>
          </c:xVal>
          <c:yVal>
            <c:numRef>
              <c:f>'2016 Data'!$AV$4:$AV$12</c:f>
              <c:numCache>
                <c:formatCode>0</c:formatCode>
                <c:ptCount val="9"/>
                <c:pt idx="0">
                  <c:v>286.19192574479763</c:v>
                </c:pt>
                <c:pt idx="1">
                  <c:v>1294.2262587953487</c:v>
                </c:pt>
                <c:pt idx="2">
                  <c:v>1169.2699236488845</c:v>
                </c:pt>
                <c:pt idx="3">
                  <c:v>749.28888667099159</c:v>
                </c:pt>
                <c:pt idx="4">
                  <c:v>1025.101052946754</c:v>
                </c:pt>
                <c:pt idx="5">
                  <c:v>107.1909775936923</c:v>
                </c:pt>
                <c:pt idx="6">
                  <c:v>181.54598532860919</c:v>
                </c:pt>
                <c:pt idx="7">
                  <c:v>990.11926742851438</c:v>
                </c:pt>
                <c:pt idx="8">
                  <c:v>214.53166325664955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30016"/>
        <c:axId val="204257536"/>
      </c:scatterChart>
      <c:valAx>
        <c:axId val="20423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HCO3-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4257536"/>
        <c:crosses val="autoZero"/>
        <c:crossBetween val="midCat"/>
      </c:valAx>
      <c:valAx>
        <c:axId val="204257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</a:t>
                </a:r>
                <a:r>
                  <a:rPr lang="en-US" baseline="0"/>
                  <a:t> </a:t>
                </a:r>
                <a:r>
                  <a:rPr lang="en-US"/>
                  <a:t>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4230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Data'!$CS$4:$CS$12</c:f>
              <c:numCache>
                <c:formatCode>0.00</c:formatCode>
                <c:ptCount val="9"/>
                <c:pt idx="0">
                  <c:v>3.29</c:v>
                </c:pt>
                <c:pt idx="1">
                  <c:v>2.92</c:v>
                </c:pt>
                <c:pt idx="2">
                  <c:v>2.4</c:v>
                </c:pt>
                <c:pt idx="3">
                  <c:v>2.79</c:v>
                </c:pt>
                <c:pt idx="4">
                  <c:v>3.15</c:v>
                </c:pt>
                <c:pt idx="5">
                  <c:v>2.8149999999999999</c:v>
                </c:pt>
                <c:pt idx="6">
                  <c:v>2.5299999999999998</c:v>
                </c:pt>
                <c:pt idx="7">
                  <c:v>2.59</c:v>
                </c:pt>
                <c:pt idx="8">
                  <c:v>2.355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91264"/>
        <c:axId val="204892800"/>
      </c:barChart>
      <c:catAx>
        <c:axId val="20489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4892800"/>
        <c:crosses val="autoZero"/>
        <c:auto val="1"/>
        <c:lblAlgn val="ctr"/>
        <c:lblOffset val="100"/>
        <c:noMultiLvlLbl val="0"/>
      </c:catAx>
      <c:valAx>
        <c:axId val="204892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pCO2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489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'2016 Data'!$AL$2</c:f>
              <c:strCache>
                <c:ptCount val="1"/>
                <c:pt idx="0">
                  <c:v>Free PO4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Data'!$AL$4:$AL$12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17</c:v>
                </c:pt>
                <c:pt idx="4">
                  <c:v>13</c:v>
                </c:pt>
                <c:pt idx="5">
                  <c:v>10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</c:ser>
        <c:ser>
          <c:idx val="1"/>
          <c:order val="1"/>
          <c:tx>
            <c:strRef>
              <c:f>'2016 Data'!$AO$2</c:f>
              <c:strCache>
                <c:ptCount val="1"/>
                <c:pt idx="0">
                  <c:v>DOP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Data'!$AO$4:$AO$12</c:f>
              <c:numCache>
                <c:formatCode>0.0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 formatCode="0">
                  <c:v>13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838656"/>
        <c:axId val="210840192"/>
      </c:barChart>
      <c:catAx>
        <c:axId val="21083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840192"/>
        <c:crosses val="autoZero"/>
        <c:auto val="1"/>
        <c:lblAlgn val="ctr"/>
        <c:lblOffset val="100"/>
        <c:noMultiLvlLbl val="0"/>
      </c:catAx>
      <c:valAx>
        <c:axId val="210840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ug P/L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083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'2013 - 2016 All data'!$I$2</c:f>
              <c:strCache>
                <c:ptCount val="1"/>
                <c:pt idx="0">
                  <c:v>Alkalinity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'2013 - 2016 All data'!$H$4:$H$47</c:f>
              <c:numCache>
                <c:formatCode>0.00</c:formatCode>
                <c:ptCount val="44"/>
                <c:pt idx="0">
                  <c:v>7.53</c:v>
                </c:pt>
                <c:pt idx="1">
                  <c:v>6.78</c:v>
                </c:pt>
                <c:pt idx="2" formatCode="General">
                  <c:v>7.02</c:v>
                </c:pt>
                <c:pt idx="3">
                  <c:v>7.37</c:v>
                </c:pt>
                <c:pt idx="5">
                  <c:v>7.45</c:v>
                </c:pt>
                <c:pt idx="6">
                  <c:v>7.52</c:v>
                </c:pt>
                <c:pt idx="7" formatCode="General">
                  <c:v>7.27</c:v>
                </c:pt>
                <c:pt idx="8">
                  <c:v>7.53</c:v>
                </c:pt>
                <c:pt idx="10" formatCode="General">
                  <c:v>7.38</c:v>
                </c:pt>
                <c:pt idx="11">
                  <c:v>7.4</c:v>
                </c:pt>
                <c:pt idx="12">
                  <c:v>7.39</c:v>
                </c:pt>
                <c:pt idx="13">
                  <c:v>6.4</c:v>
                </c:pt>
                <c:pt idx="15">
                  <c:v>7.23</c:v>
                </c:pt>
                <c:pt idx="16">
                  <c:v>6.5</c:v>
                </c:pt>
                <c:pt idx="17" formatCode="General">
                  <c:v>7.46</c:v>
                </c:pt>
                <c:pt idx="18">
                  <c:v>7.27</c:v>
                </c:pt>
                <c:pt idx="20">
                  <c:v>6.68</c:v>
                </c:pt>
                <c:pt idx="21">
                  <c:v>7.12</c:v>
                </c:pt>
                <c:pt idx="22" formatCode="General">
                  <c:v>6.81</c:v>
                </c:pt>
                <c:pt idx="23">
                  <c:v>7.45</c:v>
                </c:pt>
                <c:pt idx="25">
                  <c:v>7.8</c:v>
                </c:pt>
                <c:pt idx="26">
                  <c:v>8.27</c:v>
                </c:pt>
                <c:pt idx="27" formatCode="General">
                  <c:v>7.83</c:v>
                </c:pt>
                <c:pt idx="28">
                  <c:v>7.27</c:v>
                </c:pt>
                <c:pt idx="30">
                  <c:v>6.25</c:v>
                </c:pt>
                <c:pt idx="31">
                  <c:v>6.39</c:v>
                </c:pt>
                <c:pt idx="32" formatCode="General">
                  <c:v>6.21</c:v>
                </c:pt>
                <c:pt idx="33">
                  <c:v>7.55</c:v>
                </c:pt>
                <c:pt idx="35">
                  <c:v>7.28</c:v>
                </c:pt>
                <c:pt idx="36">
                  <c:v>7.11</c:v>
                </c:pt>
                <c:pt idx="37" formatCode="General">
                  <c:v>7.36</c:v>
                </c:pt>
                <c:pt idx="38">
                  <c:v>6.87</c:v>
                </c:pt>
                <c:pt idx="40">
                  <c:v>7.38</c:v>
                </c:pt>
                <c:pt idx="41">
                  <c:v>7.46</c:v>
                </c:pt>
                <c:pt idx="42" formatCode="General">
                  <c:v>7.18</c:v>
                </c:pt>
                <c:pt idx="43">
                  <c:v>7.2</c:v>
                </c:pt>
              </c:numCache>
            </c:numRef>
          </c:xVal>
          <c:yVal>
            <c:numRef>
              <c:f>'2013 - 2016 All data'!$I$4:$I$47</c:f>
              <c:numCache>
                <c:formatCode>0</c:formatCode>
                <c:ptCount val="44"/>
                <c:pt idx="0">
                  <c:v>142.38948626045399</c:v>
                </c:pt>
                <c:pt idx="1">
                  <c:v>261.03629854471654</c:v>
                </c:pt>
                <c:pt idx="2" formatCode="General">
                  <c:v>240</c:v>
                </c:pt>
                <c:pt idx="3">
                  <c:v>214</c:v>
                </c:pt>
                <c:pt idx="5">
                  <c:v>742.28915662650593</c:v>
                </c:pt>
                <c:pt idx="6">
                  <c:v>865.64042570167499</c:v>
                </c:pt>
                <c:pt idx="7" formatCode="General">
                  <c:v>810</c:v>
                </c:pt>
                <c:pt idx="8">
                  <c:v>937</c:v>
                </c:pt>
                <c:pt idx="10" formatCode="General">
                  <c:v>1160</c:v>
                </c:pt>
                <c:pt idx="11">
                  <c:v>1074.1940625622635</c:v>
                </c:pt>
                <c:pt idx="12">
                  <c:v>1194.6945799962623</c:v>
                </c:pt>
                <c:pt idx="13">
                  <c:v>1230</c:v>
                </c:pt>
                <c:pt idx="15">
                  <c:v>228.3687661434532</c:v>
                </c:pt>
                <c:pt idx="16">
                  <c:v>274.43862139204447</c:v>
                </c:pt>
                <c:pt idx="17" formatCode="General">
                  <c:v>270</c:v>
                </c:pt>
                <c:pt idx="18">
                  <c:v>265</c:v>
                </c:pt>
                <c:pt idx="20">
                  <c:v>111.6865552903739</c:v>
                </c:pt>
                <c:pt idx="21">
                  <c:v>131.40114221936307</c:v>
                </c:pt>
                <c:pt idx="22" formatCode="General">
                  <c:v>113</c:v>
                </c:pt>
                <c:pt idx="23">
                  <c:v>132</c:v>
                </c:pt>
                <c:pt idx="25">
                  <c:v>1532.5389221556889</c:v>
                </c:pt>
                <c:pt idx="26">
                  <c:v>1753.1808087307006</c:v>
                </c:pt>
                <c:pt idx="27" formatCode="General">
                  <c:v>1780</c:v>
                </c:pt>
                <c:pt idx="28">
                  <c:v>1774</c:v>
                </c:pt>
                <c:pt idx="30">
                  <c:v>221.78162075206114</c:v>
                </c:pt>
                <c:pt idx="31">
                  <c:v>993.45085628345578</c:v>
                </c:pt>
                <c:pt idx="32" formatCode="General">
                  <c:v>230</c:v>
                </c:pt>
                <c:pt idx="33">
                  <c:v>263</c:v>
                </c:pt>
                <c:pt idx="35">
                  <c:v>1377.0163542082171</c:v>
                </c:pt>
                <c:pt idx="36">
                  <c:v>1975.9116840745278</c:v>
                </c:pt>
                <c:pt idx="37" formatCode="General">
                  <c:v>1640</c:v>
                </c:pt>
                <c:pt idx="38">
                  <c:v>852</c:v>
                </c:pt>
                <c:pt idx="40">
                  <c:v>916.61165241598724</c:v>
                </c:pt>
                <c:pt idx="41">
                  <c:v>984.24799356397023</c:v>
                </c:pt>
                <c:pt idx="42" formatCode="General">
                  <c:v>1000</c:v>
                </c:pt>
                <c:pt idx="43">
                  <c:v>1130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'2013 - 2016 All data'!$AN$2</c:f>
              <c:strCache>
                <c:ptCount val="1"/>
                <c:pt idx="0">
                  <c:v>eq DIC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'2013 - 2016 All data'!$H$4:$H$37</c:f>
              <c:numCache>
                <c:formatCode>0.00</c:formatCode>
                <c:ptCount val="34"/>
                <c:pt idx="0">
                  <c:v>7.53</c:v>
                </c:pt>
                <c:pt idx="1">
                  <c:v>6.78</c:v>
                </c:pt>
                <c:pt idx="2" formatCode="General">
                  <c:v>7.02</c:v>
                </c:pt>
                <c:pt idx="3">
                  <c:v>7.37</c:v>
                </c:pt>
                <c:pt idx="5">
                  <c:v>7.45</c:v>
                </c:pt>
                <c:pt idx="6">
                  <c:v>7.52</c:v>
                </c:pt>
                <c:pt idx="7" formatCode="General">
                  <c:v>7.27</c:v>
                </c:pt>
                <c:pt idx="8">
                  <c:v>7.53</c:v>
                </c:pt>
                <c:pt idx="10" formatCode="General">
                  <c:v>7.38</c:v>
                </c:pt>
                <c:pt idx="11">
                  <c:v>7.4</c:v>
                </c:pt>
                <c:pt idx="12">
                  <c:v>7.39</c:v>
                </c:pt>
                <c:pt idx="13">
                  <c:v>6.4</c:v>
                </c:pt>
                <c:pt idx="15">
                  <c:v>7.23</c:v>
                </c:pt>
                <c:pt idx="16">
                  <c:v>6.5</c:v>
                </c:pt>
                <c:pt idx="17" formatCode="General">
                  <c:v>7.46</c:v>
                </c:pt>
                <c:pt idx="18">
                  <c:v>7.27</c:v>
                </c:pt>
                <c:pt idx="20">
                  <c:v>6.68</c:v>
                </c:pt>
                <c:pt idx="21">
                  <c:v>7.12</c:v>
                </c:pt>
                <c:pt idx="22" formatCode="General">
                  <c:v>6.81</c:v>
                </c:pt>
                <c:pt idx="23">
                  <c:v>7.45</c:v>
                </c:pt>
                <c:pt idx="25">
                  <c:v>7.8</c:v>
                </c:pt>
                <c:pt idx="26">
                  <c:v>8.27</c:v>
                </c:pt>
                <c:pt idx="27" formatCode="General">
                  <c:v>7.83</c:v>
                </c:pt>
                <c:pt idx="28">
                  <c:v>7.27</c:v>
                </c:pt>
                <c:pt idx="30">
                  <c:v>6.25</c:v>
                </c:pt>
                <c:pt idx="31">
                  <c:v>6.39</c:v>
                </c:pt>
                <c:pt idx="32" formatCode="General">
                  <c:v>6.21</c:v>
                </c:pt>
                <c:pt idx="33">
                  <c:v>7.55</c:v>
                </c:pt>
              </c:numCache>
            </c:numRef>
          </c:xVal>
          <c:yVal>
            <c:numRef>
              <c:f>'2013 - 2016 All data'!$AN$4:$AN$37</c:f>
              <c:numCache>
                <c:formatCode>0</c:formatCode>
                <c:ptCount val="34"/>
                <c:pt idx="0">
                  <c:v>204.17379448991636</c:v>
                </c:pt>
                <c:pt idx="1">
                  <c:v>36.307805481093681</c:v>
                </c:pt>
                <c:pt idx="2">
                  <c:v>63.095734455115576</c:v>
                </c:pt>
                <c:pt idx="3">
                  <c:v>141.25375447816197</c:v>
                </c:pt>
                <c:pt idx="5">
                  <c:v>169.82436526527474</c:v>
                </c:pt>
                <c:pt idx="6">
                  <c:v>199.52623151932801</c:v>
                </c:pt>
                <c:pt idx="7">
                  <c:v>112.2018454428156</c:v>
                </c:pt>
                <c:pt idx="8">
                  <c:v>204.17379448991636</c:v>
                </c:pt>
                <c:pt idx="10">
                  <c:v>144.54397709084935</c:v>
                </c:pt>
                <c:pt idx="11">
                  <c:v>151.35612486064406</c:v>
                </c:pt>
                <c:pt idx="12">
                  <c:v>147.91083883345598</c:v>
                </c:pt>
                <c:pt idx="13">
                  <c:v>15.135612486064385</c:v>
                </c:pt>
                <c:pt idx="15">
                  <c:v>102.32929923958436</c:v>
                </c:pt>
                <c:pt idx="16">
                  <c:v>19.054607181775534</c:v>
                </c:pt>
                <c:pt idx="17">
                  <c:v>173.78008289448215</c:v>
                </c:pt>
                <c:pt idx="18">
                  <c:v>112.2018454428156</c:v>
                </c:pt>
                <c:pt idx="20">
                  <c:v>28.840315034509665</c:v>
                </c:pt>
                <c:pt idx="21">
                  <c:v>79.432823481362007</c:v>
                </c:pt>
                <c:pt idx="22">
                  <c:v>38.904514503803576</c:v>
                </c:pt>
                <c:pt idx="23">
                  <c:v>169.82436526527474</c:v>
                </c:pt>
                <c:pt idx="25">
                  <c:v>380.18939636332027</c:v>
                </c:pt>
                <c:pt idx="26">
                  <c:v>1122.0184544281533</c:v>
                </c:pt>
                <c:pt idx="27">
                  <c:v>407.38027784993113</c:v>
                </c:pt>
                <c:pt idx="28">
                  <c:v>112.2018454428156</c:v>
                </c:pt>
                <c:pt idx="30">
                  <c:v>10.715193053581183</c:v>
                </c:pt>
                <c:pt idx="31">
                  <c:v>14.791083883345609</c:v>
                </c:pt>
                <c:pt idx="32">
                  <c:v>9.772372210657192</c:v>
                </c:pt>
                <c:pt idx="33">
                  <c:v>213.79620897426886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58848"/>
        <c:axId val="50411008"/>
      </c:scatterChart>
      <c:valAx>
        <c:axId val="48958848"/>
        <c:scaling>
          <c:orientation val="minMax"/>
          <c:min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0411008"/>
        <c:crosses val="autoZero"/>
        <c:crossBetween val="midCat"/>
      </c:valAx>
      <c:valAx>
        <c:axId val="50411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Alkalinity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895884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8888888888888886"/>
          <c:y val="0.11998651210265383"/>
          <c:w val="0.15085158363296947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74158937829941"/>
          <c:y val="5.6030183727034118E-2"/>
          <c:w val="0.78622220980408253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'2016 Data'!$J$2</c:f>
              <c:strCache>
                <c:ptCount val="1"/>
                <c:pt idx="0">
                  <c:v>Alkalinity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'2016 Data'!$I$4:$I$12</c:f>
              <c:numCache>
                <c:formatCode>0.00</c:formatCode>
                <c:ptCount val="9"/>
                <c:pt idx="0">
                  <c:v>7.37</c:v>
                </c:pt>
                <c:pt idx="1">
                  <c:v>7.53</c:v>
                </c:pt>
                <c:pt idx="2">
                  <c:v>7.27</c:v>
                </c:pt>
                <c:pt idx="3">
                  <c:v>7.27</c:v>
                </c:pt>
                <c:pt idx="4">
                  <c:v>7.55</c:v>
                </c:pt>
                <c:pt idx="5">
                  <c:v>6.87</c:v>
                </c:pt>
                <c:pt idx="6">
                  <c:v>7.2</c:v>
                </c:pt>
                <c:pt idx="7">
                  <c:v>7.45</c:v>
                </c:pt>
                <c:pt idx="8">
                  <c:v>6.4</c:v>
                </c:pt>
              </c:numCache>
            </c:numRef>
          </c:xVal>
          <c:yVal>
            <c:numRef>
              <c:f>'2016 Data'!$J$4:$J$12</c:f>
              <c:numCache>
                <c:formatCode>0</c:formatCode>
                <c:ptCount val="9"/>
                <c:pt idx="0">
                  <c:v>265</c:v>
                </c:pt>
                <c:pt idx="1">
                  <c:v>1774</c:v>
                </c:pt>
                <c:pt idx="2">
                  <c:v>1230</c:v>
                </c:pt>
                <c:pt idx="3">
                  <c:v>852</c:v>
                </c:pt>
                <c:pt idx="4">
                  <c:v>1130</c:v>
                </c:pt>
                <c:pt idx="5">
                  <c:v>132</c:v>
                </c:pt>
                <c:pt idx="6">
                  <c:v>214</c:v>
                </c:pt>
                <c:pt idx="7">
                  <c:v>937</c:v>
                </c:pt>
                <c:pt idx="8">
                  <c:v>263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'2016 Data'!$DK$2</c:f>
              <c:strCache>
                <c:ptCount val="1"/>
                <c:pt idx="0">
                  <c:v>eq DIC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'2016 Data'!$I$4:$I$12</c:f>
              <c:numCache>
                <c:formatCode>0.00</c:formatCode>
                <c:ptCount val="9"/>
                <c:pt idx="0">
                  <c:v>7.37</c:v>
                </c:pt>
                <c:pt idx="1">
                  <c:v>7.53</c:v>
                </c:pt>
                <c:pt idx="2">
                  <c:v>7.27</c:v>
                </c:pt>
                <c:pt idx="3">
                  <c:v>7.27</c:v>
                </c:pt>
                <c:pt idx="4">
                  <c:v>7.55</c:v>
                </c:pt>
                <c:pt idx="5">
                  <c:v>6.87</c:v>
                </c:pt>
                <c:pt idx="6">
                  <c:v>7.2</c:v>
                </c:pt>
                <c:pt idx="7">
                  <c:v>7.45</c:v>
                </c:pt>
                <c:pt idx="8">
                  <c:v>6.4</c:v>
                </c:pt>
              </c:numCache>
            </c:numRef>
          </c:xVal>
          <c:yVal>
            <c:numRef>
              <c:f>'2016 Data'!$DK$4:$DK$12</c:f>
              <c:numCache>
                <c:formatCode>0</c:formatCode>
                <c:ptCount val="9"/>
                <c:pt idx="0">
                  <c:v>141.25375447816197</c:v>
                </c:pt>
                <c:pt idx="1">
                  <c:v>204.17379448991636</c:v>
                </c:pt>
                <c:pt idx="2">
                  <c:v>112.2018454428156</c:v>
                </c:pt>
                <c:pt idx="3">
                  <c:v>112.2018454428156</c:v>
                </c:pt>
                <c:pt idx="4">
                  <c:v>213.79620897426886</c:v>
                </c:pt>
                <c:pt idx="5">
                  <c:v>44.668359220120138</c:v>
                </c:pt>
                <c:pt idx="6">
                  <c:v>95.499258612884375</c:v>
                </c:pt>
                <c:pt idx="7">
                  <c:v>169.82436526527474</c:v>
                </c:pt>
                <c:pt idx="8">
                  <c:v>15.135612486064385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12064"/>
        <c:axId val="106088320"/>
      </c:scatterChart>
      <c:valAx>
        <c:axId val="103112064"/>
        <c:scaling>
          <c:orientation val="minMax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6088320"/>
        <c:crosses val="autoZero"/>
        <c:crossBetween val="midCat"/>
      </c:valAx>
      <c:valAx>
        <c:axId val="106088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Alkalinity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311206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8077095692050316"/>
          <c:y val="3.2023549139690875E-2"/>
          <c:w val="0.15085158363296947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'2013 - 2016 All data'!$J$4:$J$47</c:f>
              <c:numCache>
                <c:formatCode>0.0</c:formatCode>
                <c:ptCount val="44"/>
                <c:pt idx="0">
                  <c:v>91.9</c:v>
                </c:pt>
                <c:pt idx="1">
                  <c:v>51.7</c:v>
                </c:pt>
                <c:pt idx="2" formatCode="General">
                  <c:v>45.2</c:v>
                </c:pt>
                <c:pt idx="3">
                  <c:v>54.3</c:v>
                </c:pt>
                <c:pt idx="5" formatCode="0">
                  <c:v>198.8</c:v>
                </c:pt>
                <c:pt idx="6">
                  <c:v>198.3</c:v>
                </c:pt>
                <c:pt idx="7" formatCode="General">
                  <c:v>200</c:v>
                </c:pt>
                <c:pt idx="8">
                  <c:v>22.9</c:v>
                </c:pt>
                <c:pt idx="10" formatCode="General">
                  <c:v>236</c:v>
                </c:pt>
                <c:pt idx="11" formatCode="0">
                  <c:v>252</c:v>
                </c:pt>
                <c:pt idx="12">
                  <c:v>261</c:v>
                </c:pt>
                <c:pt idx="13">
                  <c:v>63.9</c:v>
                </c:pt>
                <c:pt idx="15">
                  <c:v>45.9</c:v>
                </c:pt>
                <c:pt idx="16">
                  <c:v>44</c:v>
                </c:pt>
                <c:pt idx="17" formatCode="General">
                  <c:v>49.3</c:v>
                </c:pt>
                <c:pt idx="18">
                  <c:v>36.200000000000003</c:v>
                </c:pt>
                <c:pt idx="20">
                  <c:v>19.899999999999999</c:v>
                </c:pt>
                <c:pt idx="21">
                  <c:v>19.07</c:v>
                </c:pt>
                <c:pt idx="22" formatCode="General">
                  <c:v>22.4</c:v>
                </c:pt>
                <c:pt idx="23" formatCode="0">
                  <c:v>267</c:v>
                </c:pt>
                <c:pt idx="25" formatCode="0">
                  <c:v>213</c:v>
                </c:pt>
                <c:pt idx="26">
                  <c:v>195</c:v>
                </c:pt>
                <c:pt idx="27" formatCode="General">
                  <c:v>216</c:v>
                </c:pt>
                <c:pt idx="28" formatCode="0">
                  <c:v>161.4</c:v>
                </c:pt>
                <c:pt idx="30">
                  <c:v>58.1</c:v>
                </c:pt>
                <c:pt idx="31">
                  <c:v>67.3</c:v>
                </c:pt>
                <c:pt idx="32" formatCode="General">
                  <c:v>51.9</c:v>
                </c:pt>
                <c:pt idx="33">
                  <c:v>26.8</c:v>
                </c:pt>
                <c:pt idx="35" formatCode="0">
                  <c:v>224</c:v>
                </c:pt>
                <c:pt idx="36">
                  <c:v>244</c:v>
                </c:pt>
                <c:pt idx="37" formatCode="General">
                  <c:v>228</c:v>
                </c:pt>
                <c:pt idx="38">
                  <c:v>25</c:v>
                </c:pt>
                <c:pt idx="40" formatCode="0">
                  <c:v>219</c:v>
                </c:pt>
                <c:pt idx="41">
                  <c:v>209</c:v>
                </c:pt>
                <c:pt idx="42" formatCode="General">
                  <c:v>207</c:v>
                </c:pt>
                <c:pt idx="43">
                  <c:v>51.3</c:v>
                </c:pt>
              </c:numCache>
            </c:numRef>
          </c:xVal>
          <c:yVal>
            <c:numRef>
              <c:f>'2013 - 2016 All data'!$BF$4:$BF$47</c:f>
              <c:numCache>
                <c:formatCode>0.0E+00</c:formatCode>
                <c:ptCount val="44"/>
                <c:pt idx="0">
                  <c:v>9.0704467711965546E-4</c:v>
                </c:pt>
                <c:pt idx="1">
                  <c:v>3.8940931050696997E-4</c:v>
                </c:pt>
                <c:pt idx="2">
                  <c:v>3.0787242575901192E-4</c:v>
                </c:pt>
                <c:pt idx="3">
                  <c:v>3.3072292403467623E-4</c:v>
                </c:pt>
                <c:pt idx="5">
                  <c:v>1.8576626859150363E-3</c:v>
                </c:pt>
                <c:pt idx="6">
                  <c:v>1.6954504994254173E-3</c:v>
                </c:pt>
                <c:pt idx="7">
                  <c:v>1.3592646300505883E-3</c:v>
                </c:pt>
                <c:pt idx="8">
                  <c:v>1.672973530260313E-3</c:v>
                </c:pt>
                <c:pt idx="10">
                  <c:v>1.8077330812735913E-3</c:v>
                </c:pt>
                <c:pt idx="11">
                  <c:v>2.3223745857654725E-3</c:v>
                </c:pt>
                <c:pt idx="12">
                  <c:v>2.1439031350238532E-3</c:v>
                </c:pt>
                <c:pt idx="13">
                  <c:v>1.9895559621906176E-3</c:v>
                </c:pt>
                <c:pt idx="15">
                  <c:v>4.2322536941348244E-4</c:v>
                </c:pt>
                <c:pt idx="16">
                  <c:v>3.3250295557711471E-4</c:v>
                </c:pt>
                <c:pt idx="17">
                  <c:v>3.4624297616228335E-4</c:v>
                </c:pt>
                <c:pt idx="18">
                  <c:v>3.3677247413181627E-4</c:v>
                </c:pt>
                <c:pt idx="20">
                  <c:v>1.5463962781854472E-4</c:v>
                </c:pt>
                <c:pt idx="21">
                  <c:v>1.1694792247018116E-4</c:v>
                </c:pt>
                <c:pt idx="22">
                  <c:v>1.5903402894040886E-4</c:v>
                </c:pt>
                <c:pt idx="23">
                  <c:v>2.1135358190683916E-4</c:v>
                </c:pt>
                <c:pt idx="25">
                  <c:v>1.6260089803402005E-3</c:v>
                </c:pt>
                <c:pt idx="26">
                  <c:v>1.3184821359522765E-3</c:v>
                </c:pt>
                <c:pt idx="27">
                  <c:v>1.1889477305205777E-3</c:v>
                </c:pt>
                <c:pt idx="28">
                  <c:v>1.3134353324063713E-3</c:v>
                </c:pt>
                <c:pt idx="30">
                  <c:v>5.3547237474899925E-4</c:v>
                </c:pt>
                <c:pt idx="31">
                  <c:v>5.435180137660032E-4</c:v>
                </c:pt>
                <c:pt idx="32">
                  <c:v>3.5487477084792746E-4</c:v>
                </c:pt>
                <c:pt idx="33">
                  <c:v>4.1520392722611539E-4</c:v>
                </c:pt>
                <c:pt idx="35">
                  <c:v>2.113825451032321E-3</c:v>
                </c:pt>
                <c:pt idx="36">
                  <c:v>1.8007759728556592E-3</c:v>
                </c:pt>
                <c:pt idx="37">
                  <c:v>1.3295635278126325E-3</c:v>
                </c:pt>
                <c:pt idx="38">
                  <c:v>9.8706583868816847E-4</c:v>
                </c:pt>
                <c:pt idx="40">
                  <c:v>2.0658696192153219E-3</c:v>
                </c:pt>
                <c:pt idx="41">
                  <c:v>1.7457304598384067E-3</c:v>
                </c:pt>
                <c:pt idx="42">
                  <c:v>1.3006286327676845E-3</c:v>
                </c:pt>
                <c:pt idx="43">
                  <c:v>1.6839988962432416E-3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32256"/>
        <c:axId val="50438528"/>
      </c:scatterChart>
      <c:valAx>
        <c:axId val="5043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(µS/cm)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0438528"/>
        <c:crosses val="autoZero"/>
        <c:crossBetween val="midCat"/>
      </c:valAx>
      <c:valAx>
        <c:axId val="50438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Ionic strength (µeq/L)</a:t>
                </a:r>
              </a:p>
            </c:rich>
          </c:tx>
          <c:overlay val="0"/>
        </c:title>
        <c:numFmt formatCode="0.0E+00" sourceLinked="1"/>
        <c:majorTickMark val="out"/>
        <c:minorTickMark val="none"/>
        <c:tickLblPos val="nextTo"/>
        <c:crossAx val="50432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SAR</a:t>
            </a:r>
          </a:p>
        </c:rich>
      </c:tx>
      <c:layout>
        <c:manualLayout>
          <c:xMode val="edge"/>
          <c:yMode val="edge"/>
          <c:x val="0.49258771293955023"/>
          <c:y val="0.15740740740740741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'2013 - 2016 All data'!$L$4:$L$47</c:f>
              <c:numCache>
                <c:formatCode>0.000</c:formatCode>
                <c:ptCount val="44"/>
                <c:pt idx="0">
                  <c:v>0.23100000000000001</c:v>
                </c:pt>
                <c:pt idx="1">
                  <c:v>0.11799999999999999</c:v>
                </c:pt>
                <c:pt idx="2">
                  <c:v>0.189</c:v>
                </c:pt>
                <c:pt idx="3">
                  <c:v>0.17</c:v>
                </c:pt>
                <c:pt idx="5">
                  <c:v>0.38</c:v>
                </c:pt>
                <c:pt idx="6">
                  <c:v>0.192</c:v>
                </c:pt>
                <c:pt idx="7">
                  <c:v>0.30299999999999999</c:v>
                </c:pt>
                <c:pt idx="8">
                  <c:v>0.23100000000000001</c:v>
                </c:pt>
                <c:pt idx="10">
                  <c:v>0.153</c:v>
                </c:pt>
                <c:pt idx="11">
                  <c:v>0.13700000000000001</c:v>
                </c:pt>
                <c:pt idx="12">
                  <c:v>0.13200000000000001</c:v>
                </c:pt>
                <c:pt idx="13">
                  <c:v>0.157</c:v>
                </c:pt>
                <c:pt idx="15">
                  <c:v>2.8000000000000001E-2</c:v>
                </c:pt>
                <c:pt idx="16">
                  <c:v>2.7E-2</c:v>
                </c:pt>
                <c:pt idx="17">
                  <c:v>3.5999999999999997E-2</c:v>
                </c:pt>
                <c:pt idx="18">
                  <c:v>3.2000000000000001E-2</c:v>
                </c:pt>
                <c:pt idx="20">
                  <c:v>0.16300000000000001</c:v>
                </c:pt>
                <c:pt idx="21">
                  <c:v>0.125</c:v>
                </c:pt>
                <c:pt idx="22">
                  <c:v>0.193</c:v>
                </c:pt>
                <c:pt idx="23">
                  <c:v>0.17599999999999999</c:v>
                </c:pt>
                <c:pt idx="25">
                  <c:v>0.16200000000000001</c:v>
                </c:pt>
                <c:pt idx="26">
                  <c:v>0.156</c:v>
                </c:pt>
                <c:pt idx="27">
                  <c:v>0.188</c:v>
                </c:pt>
                <c:pt idx="28">
                  <c:v>0.182</c:v>
                </c:pt>
                <c:pt idx="30">
                  <c:v>0.33700000000000002</c:v>
                </c:pt>
                <c:pt idx="31">
                  <c:v>0.254</c:v>
                </c:pt>
                <c:pt idx="32">
                  <c:v>0.52700000000000002</c:v>
                </c:pt>
                <c:pt idx="33">
                  <c:v>0.36899999999999999</c:v>
                </c:pt>
                <c:pt idx="35">
                  <c:v>0.20899999999999999</c:v>
                </c:pt>
                <c:pt idx="36">
                  <c:v>0.21199999999999999</c:v>
                </c:pt>
                <c:pt idx="37">
                  <c:v>0.17899999999999999</c:v>
                </c:pt>
                <c:pt idx="38">
                  <c:v>0.152</c:v>
                </c:pt>
                <c:pt idx="40">
                  <c:v>0.22800000000000001</c:v>
                </c:pt>
                <c:pt idx="41">
                  <c:v>0.193</c:v>
                </c:pt>
                <c:pt idx="42">
                  <c:v>0.34499999999999997</c:v>
                </c:pt>
                <c:pt idx="43">
                  <c:v>0.20799999999999999</c:v>
                </c:pt>
              </c:numCache>
            </c:numRef>
          </c:xVal>
          <c:yVal>
            <c:numRef>
              <c:f>'2013 - 2016 All data'!$M$4:$M$47</c:f>
              <c:numCache>
                <c:formatCode>0.000</c:formatCode>
                <c:ptCount val="44"/>
                <c:pt idx="0">
                  <c:v>0.06</c:v>
                </c:pt>
                <c:pt idx="1">
                  <c:v>1.4E-2</c:v>
                </c:pt>
                <c:pt idx="2">
                  <c:v>1.9E-2</c:v>
                </c:pt>
                <c:pt idx="3">
                  <c:v>2.4E-2</c:v>
                </c:pt>
                <c:pt idx="5">
                  <c:v>2.3E-2</c:v>
                </c:pt>
                <c:pt idx="6">
                  <c:v>1.7000000000000001E-2</c:v>
                </c:pt>
                <c:pt idx="7">
                  <c:v>3.1E-2</c:v>
                </c:pt>
                <c:pt idx="8">
                  <c:v>2.5999999999999999E-2</c:v>
                </c:pt>
                <c:pt idx="10">
                  <c:v>1.2E-2</c:v>
                </c:pt>
                <c:pt idx="11">
                  <c:v>5.0000000000000001E-4</c:v>
                </c:pt>
                <c:pt idx="12">
                  <c:v>1.6E-2</c:v>
                </c:pt>
                <c:pt idx="13">
                  <c:v>1.7000000000000001E-2</c:v>
                </c:pt>
                <c:pt idx="15">
                  <c:v>3.0000000000000001E-3</c:v>
                </c:pt>
                <c:pt idx="16">
                  <c:v>2E-3</c:v>
                </c:pt>
                <c:pt idx="17">
                  <c:v>2E-3</c:v>
                </c:pt>
                <c:pt idx="18">
                  <c:v>2E-3</c:v>
                </c:pt>
                <c:pt idx="20">
                  <c:v>1.7999999999999999E-2</c:v>
                </c:pt>
                <c:pt idx="21">
                  <c:v>1.2E-2</c:v>
                </c:pt>
                <c:pt idx="22">
                  <c:v>1.9E-2</c:v>
                </c:pt>
                <c:pt idx="23">
                  <c:v>2.1999999999999999E-2</c:v>
                </c:pt>
                <c:pt idx="25">
                  <c:v>1.0999999999999999E-2</c:v>
                </c:pt>
                <c:pt idx="26">
                  <c:v>1.0999999999999999E-2</c:v>
                </c:pt>
                <c:pt idx="27">
                  <c:v>1.2E-2</c:v>
                </c:pt>
                <c:pt idx="28">
                  <c:v>1.4999999999999999E-2</c:v>
                </c:pt>
                <c:pt idx="30">
                  <c:v>4.3999999999999997E-2</c:v>
                </c:pt>
                <c:pt idx="31">
                  <c:v>3.3000000000000002E-2</c:v>
                </c:pt>
                <c:pt idx="32">
                  <c:v>6.4000000000000001E-2</c:v>
                </c:pt>
                <c:pt idx="33">
                  <c:v>4.3999999999999997E-2</c:v>
                </c:pt>
                <c:pt idx="35">
                  <c:v>3.2000000000000001E-2</c:v>
                </c:pt>
                <c:pt idx="36">
                  <c:v>3.1E-2</c:v>
                </c:pt>
                <c:pt idx="37">
                  <c:v>1.7999999999999999E-2</c:v>
                </c:pt>
                <c:pt idx="38">
                  <c:v>1.7999999999999999E-2</c:v>
                </c:pt>
                <c:pt idx="40">
                  <c:v>0.28000000000000003</c:v>
                </c:pt>
                <c:pt idx="41">
                  <c:v>2.4E-2</c:v>
                </c:pt>
                <c:pt idx="42">
                  <c:v>3.9E-2</c:v>
                </c:pt>
                <c:pt idx="43">
                  <c:v>2.1000000000000001E-2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99904"/>
        <c:axId val="52701824"/>
      </c:scatterChart>
      <c:valAx>
        <c:axId val="5269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λ254</a:t>
                </a:r>
                <a:r>
                  <a:rPr lang="en-US"/>
                  <a:t>nm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52701824"/>
        <c:crosses val="autoZero"/>
        <c:crossBetween val="midCat"/>
      </c:valAx>
      <c:valAx>
        <c:axId val="52701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λ400</a:t>
                </a:r>
                <a:r>
                  <a:rPr lang="en-US"/>
                  <a:t>nm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5269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sUVa</a:t>
            </a:r>
          </a:p>
        </c:rich>
      </c:tx>
      <c:layout>
        <c:manualLayout>
          <c:xMode val="edge"/>
          <c:yMode val="edge"/>
          <c:x val="0.52575419933251821"/>
          <c:y val="1.3888888888888888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0331842524706528"/>
                  <c:y val="0.3640102799650044"/>
                </c:manualLayout>
              </c:layout>
              <c:numFmt formatCode="General" sourceLinked="0"/>
            </c:trendlineLbl>
          </c:trendline>
          <c:xVal>
            <c:numRef>
              <c:f>'2013 - 2016 All data'!$L$4:$L$47</c:f>
              <c:numCache>
                <c:formatCode>0.000</c:formatCode>
                <c:ptCount val="44"/>
                <c:pt idx="0">
                  <c:v>0.23100000000000001</c:v>
                </c:pt>
                <c:pt idx="1">
                  <c:v>0.11799999999999999</c:v>
                </c:pt>
                <c:pt idx="2">
                  <c:v>0.189</c:v>
                </c:pt>
                <c:pt idx="3">
                  <c:v>0.17</c:v>
                </c:pt>
                <c:pt idx="5">
                  <c:v>0.38</c:v>
                </c:pt>
                <c:pt idx="6">
                  <c:v>0.192</c:v>
                </c:pt>
                <c:pt idx="7">
                  <c:v>0.30299999999999999</c:v>
                </c:pt>
                <c:pt idx="8">
                  <c:v>0.23100000000000001</c:v>
                </c:pt>
                <c:pt idx="10">
                  <c:v>0.153</c:v>
                </c:pt>
                <c:pt idx="11">
                  <c:v>0.13700000000000001</c:v>
                </c:pt>
                <c:pt idx="12">
                  <c:v>0.13200000000000001</c:v>
                </c:pt>
                <c:pt idx="13">
                  <c:v>0.157</c:v>
                </c:pt>
                <c:pt idx="15">
                  <c:v>2.8000000000000001E-2</c:v>
                </c:pt>
                <c:pt idx="16">
                  <c:v>2.7E-2</c:v>
                </c:pt>
                <c:pt idx="17">
                  <c:v>3.5999999999999997E-2</c:v>
                </c:pt>
                <c:pt idx="18">
                  <c:v>3.2000000000000001E-2</c:v>
                </c:pt>
                <c:pt idx="20">
                  <c:v>0.16300000000000001</c:v>
                </c:pt>
                <c:pt idx="21">
                  <c:v>0.125</c:v>
                </c:pt>
                <c:pt idx="22">
                  <c:v>0.193</c:v>
                </c:pt>
                <c:pt idx="23">
                  <c:v>0.17599999999999999</c:v>
                </c:pt>
                <c:pt idx="25">
                  <c:v>0.16200000000000001</c:v>
                </c:pt>
                <c:pt idx="26">
                  <c:v>0.156</c:v>
                </c:pt>
                <c:pt idx="27">
                  <c:v>0.188</c:v>
                </c:pt>
                <c:pt idx="28">
                  <c:v>0.182</c:v>
                </c:pt>
                <c:pt idx="30">
                  <c:v>0.33700000000000002</c:v>
                </c:pt>
                <c:pt idx="31">
                  <c:v>0.254</c:v>
                </c:pt>
                <c:pt idx="32">
                  <c:v>0.52700000000000002</c:v>
                </c:pt>
                <c:pt idx="33">
                  <c:v>0.36899999999999999</c:v>
                </c:pt>
                <c:pt idx="35">
                  <c:v>0.20899999999999999</c:v>
                </c:pt>
                <c:pt idx="36">
                  <c:v>0.21199999999999999</c:v>
                </c:pt>
                <c:pt idx="37">
                  <c:v>0.17899999999999999</c:v>
                </c:pt>
                <c:pt idx="38">
                  <c:v>0.152</c:v>
                </c:pt>
                <c:pt idx="40">
                  <c:v>0.22800000000000001</c:v>
                </c:pt>
                <c:pt idx="41">
                  <c:v>0.193</c:v>
                </c:pt>
                <c:pt idx="42">
                  <c:v>0.34499999999999997</c:v>
                </c:pt>
                <c:pt idx="43">
                  <c:v>0.20799999999999999</c:v>
                </c:pt>
              </c:numCache>
            </c:numRef>
          </c:xVal>
          <c:yVal>
            <c:numRef>
              <c:f>'2013 - 2016 All data'!$N$4:$N$47</c:f>
              <c:numCache>
                <c:formatCode>0.00</c:formatCode>
                <c:ptCount val="44"/>
                <c:pt idx="0">
                  <c:v>4.6470000000000002</c:v>
                </c:pt>
                <c:pt idx="1">
                  <c:v>2.2410000000000001</c:v>
                </c:pt>
                <c:pt idx="2">
                  <c:v>5.6130000000000004</c:v>
                </c:pt>
                <c:pt idx="3">
                  <c:v>4.13</c:v>
                </c:pt>
                <c:pt idx="5">
                  <c:v>6.9669999999999996</c:v>
                </c:pt>
                <c:pt idx="6">
                  <c:v>4.7930000000000001</c:v>
                </c:pt>
                <c:pt idx="7">
                  <c:v>8.9909999999999997</c:v>
                </c:pt>
                <c:pt idx="8">
                  <c:v>12.46</c:v>
                </c:pt>
                <c:pt idx="10">
                  <c:v>6.1820000000000004</c:v>
                </c:pt>
                <c:pt idx="11">
                  <c:v>5.3949999999999996</c:v>
                </c:pt>
                <c:pt idx="12">
                  <c:v>4.008</c:v>
                </c:pt>
                <c:pt idx="13">
                  <c:v>7.7350000000000003</c:v>
                </c:pt>
                <c:pt idx="15">
                  <c:v>1.9119999999999999</c:v>
                </c:pt>
                <c:pt idx="16">
                  <c:v>0.75080000000000002</c:v>
                </c:pt>
                <c:pt idx="17">
                  <c:v>2.2309999999999999</c:v>
                </c:pt>
                <c:pt idx="18">
                  <c:v>1.9470000000000001</c:v>
                </c:pt>
                <c:pt idx="20">
                  <c:v>4.4489999999999998</c:v>
                </c:pt>
                <c:pt idx="21">
                  <c:v>2.4460000000000002</c:v>
                </c:pt>
                <c:pt idx="22">
                  <c:v>5.47</c:v>
                </c:pt>
                <c:pt idx="23">
                  <c:v>4.4169999999999998</c:v>
                </c:pt>
                <c:pt idx="25">
                  <c:v>7.7190000000000003</c:v>
                </c:pt>
                <c:pt idx="26">
                  <c:v>6.157</c:v>
                </c:pt>
                <c:pt idx="27">
                  <c:v>8.85</c:v>
                </c:pt>
                <c:pt idx="28">
                  <c:v>7.7439999999999998</c:v>
                </c:pt>
                <c:pt idx="30">
                  <c:v>7.5890000000000004</c:v>
                </c:pt>
                <c:pt idx="31">
                  <c:v>4.9409999999999998</c:v>
                </c:pt>
                <c:pt idx="32">
                  <c:v>13.27</c:v>
                </c:pt>
                <c:pt idx="33">
                  <c:v>8.6389999999999993</c:v>
                </c:pt>
                <c:pt idx="35">
                  <c:v>5.282</c:v>
                </c:pt>
                <c:pt idx="36">
                  <c:v>4.3140000000000001</c:v>
                </c:pt>
                <c:pt idx="37">
                  <c:v>5.96</c:v>
                </c:pt>
                <c:pt idx="38">
                  <c:v>8.85</c:v>
                </c:pt>
                <c:pt idx="40">
                  <c:v>6.9249999999999998</c:v>
                </c:pt>
                <c:pt idx="41">
                  <c:v>4.6420000000000003</c:v>
                </c:pt>
                <c:pt idx="42">
                  <c:v>9.44</c:v>
                </c:pt>
                <c:pt idx="43">
                  <c:v>6.0659999999999998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28576"/>
        <c:axId val="52730496"/>
      </c:scatterChart>
      <c:valAx>
        <c:axId val="5272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 i="0" baseline="0">
                    <a:effectLst/>
                  </a:rPr>
                  <a:t>Abs. @ </a:t>
                </a:r>
                <a:r>
                  <a:rPr lang="el-GR" sz="1100" b="1" i="0" baseline="0">
                    <a:effectLst/>
                  </a:rPr>
                  <a:t>λ</a:t>
                </a:r>
                <a:r>
                  <a:rPr lang="nb-NO" sz="1100" b="1" i="0" baseline="0">
                    <a:effectLst/>
                  </a:rPr>
                  <a:t>254</a:t>
                </a:r>
                <a:r>
                  <a:rPr lang="en-US" sz="1100" b="1" i="0" baseline="0">
                    <a:effectLst/>
                  </a:rPr>
                  <a:t>nm</a:t>
                </a:r>
                <a:endParaRPr lang="en-GB" sz="600">
                  <a:effectLst/>
                </a:endParaRP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52730496"/>
        <c:crosses val="autoZero"/>
        <c:crossBetween val="midCat"/>
      </c:valAx>
      <c:valAx>
        <c:axId val="52730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DOC (mg/L)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2728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'2013 - 2016 All data'!$Q$4:$Q$47</c:f>
              <c:numCache>
                <c:formatCode>0.0</c:formatCode>
                <c:ptCount val="44"/>
                <c:pt idx="0">
                  <c:v>9.3007893408476328</c:v>
                </c:pt>
                <c:pt idx="1">
                  <c:v>4.5287100000000002</c:v>
                </c:pt>
                <c:pt idx="2">
                  <c:v>4.0990000000000002</c:v>
                </c:pt>
                <c:pt idx="3">
                  <c:v>3.6379999999999999</c:v>
                </c:pt>
                <c:pt idx="5">
                  <c:v>23.281723673743723</c:v>
                </c:pt>
                <c:pt idx="6">
                  <c:v>18.091999999999999</c:v>
                </c:pt>
                <c:pt idx="7">
                  <c:v>16.308</c:v>
                </c:pt>
                <c:pt idx="8">
                  <c:v>19.841000000000001</c:v>
                </c:pt>
                <c:pt idx="10">
                  <c:v>20.957000000000001</c:v>
                </c:pt>
                <c:pt idx="11">
                  <c:v>28.177924713367048</c:v>
                </c:pt>
                <c:pt idx="12">
                  <c:v>22.299099999999999</c:v>
                </c:pt>
                <c:pt idx="13">
                  <c:v>23.431000000000001</c:v>
                </c:pt>
                <c:pt idx="15">
                  <c:v>7.6698182323586517</c:v>
                </c:pt>
                <c:pt idx="16">
                  <c:v>5.4847400000000004</c:v>
                </c:pt>
                <c:pt idx="17">
                  <c:v>5.5270000000000001</c:v>
                </c:pt>
                <c:pt idx="18">
                  <c:v>5.7350000000000003</c:v>
                </c:pt>
                <c:pt idx="20">
                  <c:v>2.5902686975781251</c:v>
                </c:pt>
                <c:pt idx="21">
                  <c:v>1.91856</c:v>
                </c:pt>
                <c:pt idx="22">
                  <c:v>2.1539999999999999</c:v>
                </c:pt>
                <c:pt idx="23">
                  <c:v>2.1480000000000001</c:v>
                </c:pt>
                <c:pt idx="25">
                  <c:v>31.452238707786567</c:v>
                </c:pt>
                <c:pt idx="26">
                  <c:v>23.033000000000001</c:v>
                </c:pt>
                <c:pt idx="27">
                  <c:v>22.724</c:v>
                </c:pt>
                <c:pt idx="28">
                  <c:v>25.934999999999999</c:v>
                </c:pt>
                <c:pt idx="30">
                  <c:v>5.448273939247569</c:v>
                </c:pt>
                <c:pt idx="31">
                  <c:v>4.9141500000000002</c:v>
                </c:pt>
                <c:pt idx="32">
                  <c:v>3.726</c:v>
                </c:pt>
                <c:pt idx="33">
                  <c:v>4.2990000000000004</c:v>
                </c:pt>
                <c:pt idx="35">
                  <c:v>33.155149988124009</c:v>
                </c:pt>
                <c:pt idx="36">
                  <c:v>28.4818</c:v>
                </c:pt>
                <c:pt idx="37">
                  <c:v>24.169</c:v>
                </c:pt>
                <c:pt idx="38">
                  <c:v>15.015000000000001</c:v>
                </c:pt>
                <c:pt idx="40">
                  <c:v>25.035275101039684</c:v>
                </c:pt>
                <c:pt idx="41">
                  <c:v>18.3963</c:v>
                </c:pt>
                <c:pt idx="42">
                  <c:v>16.577999999999999</c:v>
                </c:pt>
                <c:pt idx="43">
                  <c:v>20.542000000000002</c:v>
                </c:pt>
              </c:numCache>
            </c:numRef>
          </c:xVal>
          <c:yVal>
            <c:numRef>
              <c:f>'2013 - 2016 All data'!$R$4:$R$47</c:f>
              <c:numCache>
                <c:formatCode>0.0</c:formatCode>
                <c:ptCount val="44"/>
                <c:pt idx="0">
                  <c:v>1.8350339762777772</c:v>
                </c:pt>
                <c:pt idx="1">
                  <c:v>0.76590800000000003</c:v>
                </c:pt>
                <c:pt idx="2">
                  <c:v>0.79490000000000005</c:v>
                </c:pt>
                <c:pt idx="3">
                  <c:v>0.94399999999999995</c:v>
                </c:pt>
                <c:pt idx="5">
                  <c:v>3.573648037549602</c:v>
                </c:pt>
                <c:pt idx="6">
                  <c:v>2.8195100000000002</c:v>
                </c:pt>
                <c:pt idx="7">
                  <c:v>2.645</c:v>
                </c:pt>
                <c:pt idx="8">
                  <c:v>2.8879999999999999</c:v>
                </c:pt>
                <c:pt idx="10">
                  <c:v>2.9049999999999998</c:v>
                </c:pt>
                <c:pt idx="11">
                  <c:v>3.7610949525191009</c:v>
                </c:pt>
                <c:pt idx="12">
                  <c:v>3.0527299999999999</c:v>
                </c:pt>
                <c:pt idx="13">
                  <c:v>3.0590000000000002</c:v>
                </c:pt>
                <c:pt idx="15">
                  <c:v>1.1573751651842334</c:v>
                </c:pt>
                <c:pt idx="16">
                  <c:v>0.93453299999999995</c:v>
                </c:pt>
                <c:pt idx="17">
                  <c:v>1.1220000000000001</c:v>
                </c:pt>
                <c:pt idx="18">
                  <c:v>1.238</c:v>
                </c:pt>
                <c:pt idx="20">
                  <c:v>0.18869372880455609</c:v>
                </c:pt>
                <c:pt idx="21">
                  <c:v>0.31007699999999999</c:v>
                </c:pt>
                <c:pt idx="22">
                  <c:v>0.52610000000000001</c:v>
                </c:pt>
                <c:pt idx="23">
                  <c:v>1.6890000000000001</c:v>
                </c:pt>
                <c:pt idx="25">
                  <c:v>4.730521781645578</c:v>
                </c:pt>
                <c:pt idx="26">
                  <c:v>3.7503299999999999</c:v>
                </c:pt>
                <c:pt idx="27">
                  <c:v>3.4950000000000001</c:v>
                </c:pt>
                <c:pt idx="28">
                  <c:v>3.7250000000000001</c:v>
                </c:pt>
                <c:pt idx="30">
                  <c:v>0.78639222705961187</c:v>
                </c:pt>
                <c:pt idx="31">
                  <c:v>0.90431899999999998</c:v>
                </c:pt>
                <c:pt idx="32">
                  <c:v>0.84060000000000001</c:v>
                </c:pt>
                <c:pt idx="33">
                  <c:v>1.0409999999999999</c:v>
                </c:pt>
                <c:pt idx="35">
                  <c:v>5.6764929403110793</c:v>
                </c:pt>
                <c:pt idx="36">
                  <c:v>5.2700100000000001</c:v>
                </c:pt>
                <c:pt idx="37">
                  <c:v>3.8879999999999999</c:v>
                </c:pt>
                <c:pt idx="38">
                  <c:v>2.5470000000000002</c:v>
                </c:pt>
                <c:pt idx="40">
                  <c:v>5.512700144520859</c:v>
                </c:pt>
                <c:pt idx="41">
                  <c:v>4.1443700000000003</c:v>
                </c:pt>
                <c:pt idx="42">
                  <c:v>3.1840000000000002</c:v>
                </c:pt>
                <c:pt idx="43">
                  <c:v>4.3780000000000001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52768"/>
        <c:axId val="52754688"/>
      </c:scatterChart>
      <c:valAx>
        <c:axId val="5275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 (ueq/L)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2754688"/>
        <c:crosses val="autoZero"/>
        <c:crossBetween val="midCat"/>
      </c:valAx>
      <c:valAx>
        <c:axId val="52754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(ueq/L)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2752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'2013 - 2016 All data'!$S$4:$S$47</c:f>
              <c:numCache>
                <c:formatCode>0.0</c:formatCode>
                <c:ptCount val="44"/>
                <c:pt idx="0">
                  <c:v>12.312395482003362</c:v>
                </c:pt>
                <c:pt idx="1">
                  <c:v>3.6961400000000002</c:v>
                </c:pt>
                <c:pt idx="2">
                  <c:v>2.9430000000000001</c:v>
                </c:pt>
                <c:pt idx="3">
                  <c:v>3.1179999999999999</c:v>
                </c:pt>
                <c:pt idx="5">
                  <c:v>19.613084174847604</c:v>
                </c:pt>
                <c:pt idx="6">
                  <c:v>18.245999999999999</c:v>
                </c:pt>
                <c:pt idx="7">
                  <c:v>12.977</c:v>
                </c:pt>
                <c:pt idx="8">
                  <c:v>14.811999999999999</c:v>
                </c:pt>
                <c:pt idx="10">
                  <c:v>19.782</c:v>
                </c:pt>
                <c:pt idx="11">
                  <c:v>27.074719368361912</c:v>
                </c:pt>
                <c:pt idx="12">
                  <c:v>25.276700000000002</c:v>
                </c:pt>
                <c:pt idx="13">
                  <c:v>20.300999999999998</c:v>
                </c:pt>
                <c:pt idx="15">
                  <c:v>1.9272171947874293</c:v>
                </c:pt>
                <c:pt idx="16">
                  <c:v>0.84845999999999999</c:v>
                </c:pt>
                <c:pt idx="17">
                  <c:v>1.8620000000000001</c:v>
                </c:pt>
                <c:pt idx="18">
                  <c:v>1.806</c:v>
                </c:pt>
                <c:pt idx="20">
                  <c:v>1.0203037935276513</c:v>
                </c:pt>
                <c:pt idx="21">
                  <c:v>0.12970200000000001</c:v>
                </c:pt>
                <c:pt idx="22">
                  <c:v>1.4730000000000001</c:v>
                </c:pt>
                <c:pt idx="23">
                  <c:v>1.4219999999999999</c:v>
                </c:pt>
                <c:pt idx="25">
                  <c:v>15.826347265975727</c:v>
                </c:pt>
                <c:pt idx="26">
                  <c:v>13.007199999999999</c:v>
                </c:pt>
                <c:pt idx="27">
                  <c:v>9.702</c:v>
                </c:pt>
                <c:pt idx="28">
                  <c:v>10.303000000000001</c:v>
                </c:pt>
                <c:pt idx="30">
                  <c:v>7.6582421359832109</c:v>
                </c:pt>
                <c:pt idx="31">
                  <c:v>7.53207</c:v>
                </c:pt>
                <c:pt idx="32">
                  <c:v>4.4210000000000003</c:v>
                </c:pt>
                <c:pt idx="33">
                  <c:v>4.8070000000000004</c:v>
                </c:pt>
                <c:pt idx="35">
                  <c:v>19.894904399988331</c:v>
                </c:pt>
                <c:pt idx="36">
                  <c:v>15.9796</c:v>
                </c:pt>
                <c:pt idx="37">
                  <c:v>8.9990000000000006</c:v>
                </c:pt>
                <c:pt idx="38">
                  <c:v>7.319</c:v>
                </c:pt>
                <c:pt idx="40">
                  <c:v>21.030284120974741</c:v>
                </c:pt>
                <c:pt idx="41">
                  <c:v>18.277899999999999</c:v>
                </c:pt>
                <c:pt idx="42">
                  <c:v>10.525</c:v>
                </c:pt>
                <c:pt idx="43">
                  <c:v>14.331</c:v>
                </c:pt>
              </c:numCache>
            </c:numRef>
          </c:xVal>
          <c:yVal>
            <c:numRef>
              <c:f>'2013 - 2016 All data'!$T$4:$T$47</c:f>
              <c:numCache>
                <c:formatCode>0.0</c:formatCode>
                <c:ptCount val="44"/>
                <c:pt idx="0">
                  <c:v>1.2256838518982534</c:v>
                </c:pt>
                <c:pt idx="1">
                  <c:v>0</c:v>
                </c:pt>
                <c:pt idx="2">
                  <c:v>0.58830000000000005</c:v>
                </c:pt>
                <c:pt idx="3">
                  <c:v>0.59299999999999997</c:v>
                </c:pt>
                <c:pt idx="5">
                  <c:v>3.0335469301519034</c:v>
                </c:pt>
                <c:pt idx="6">
                  <c:v>1.73377</c:v>
                </c:pt>
                <c:pt idx="7">
                  <c:v>2.3690000000000002</c:v>
                </c:pt>
                <c:pt idx="8">
                  <c:v>4.1109999999999998</c:v>
                </c:pt>
                <c:pt idx="10">
                  <c:v>3.0057999999999998</c:v>
                </c:pt>
                <c:pt idx="11">
                  <c:v>3.9643325280655914</c:v>
                </c:pt>
                <c:pt idx="12">
                  <c:v>2.7717800000000001</c:v>
                </c:pt>
                <c:pt idx="13">
                  <c:v>3.7639999999999998</c:v>
                </c:pt>
                <c:pt idx="15">
                  <c:v>0.55636694586113178</c:v>
                </c:pt>
                <c:pt idx="16">
                  <c:v>0</c:v>
                </c:pt>
                <c:pt idx="17">
                  <c:v>0.5181</c:v>
                </c:pt>
                <c:pt idx="18">
                  <c:v>0.59399999999999997</c:v>
                </c:pt>
                <c:pt idx="20">
                  <c:v>0.32467631637472705</c:v>
                </c:pt>
                <c:pt idx="21">
                  <c:v>0</c:v>
                </c:pt>
                <c:pt idx="22">
                  <c:v>0.41570000000000001</c:v>
                </c:pt>
                <c:pt idx="23">
                  <c:v>0.44600000000000001</c:v>
                </c:pt>
                <c:pt idx="25">
                  <c:v>2.4746781104911828</c:v>
                </c:pt>
                <c:pt idx="26">
                  <c:v>1.17825</c:v>
                </c:pt>
                <c:pt idx="27">
                  <c:v>1.7110000000000001</c:v>
                </c:pt>
                <c:pt idx="28">
                  <c:v>1.85</c:v>
                </c:pt>
                <c:pt idx="30">
                  <c:v>0.79467869249980483</c:v>
                </c:pt>
                <c:pt idx="31">
                  <c:v>0</c:v>
                </c:pt>
                <c:pt idx="32">
                  <c:v>0.77400000000000002</c:v>
                </c:pt>
                <c:pt idx="33">
                  <c:v>0.81899999999999995</c:v>
                </c:pt>
                <c:pt idx="35">
                  <c:v>3.6662853145275367</c:v>
                </c:pt>
                <c:pt idx="36">
                  <c:v>2.5989599999999999</c:v>
                </c:pt>
                <c:pt idx="37">
                  <c:v>2.718</c:v>
                </c:pt>
                <c:pt idx="38">
                  <c:v>1.4990000000000001</c:v>
                </c:pt>
                <c:pt idx="40">
                  <c:v>4.8838486549843863</c:v>
                </c:pt>
                <c:pt idx="41">
                  <c:v>2.7003900000000001</c:v>
                </c:pt>
                <c:pt idx="42">
                  <c:v>3.294</c:v>
                </c:pt>
                <c:pt idx="43">
                  <c:v>3.2149999999999999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78912"/>
        <c:axId val="55080832"/>
      </c:scatterChart>
      <c:valAx>
        <c:axId val="5507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 (ueq/L)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5080832"/>
        <c:crosses val="autoZero"/>
        <c:crossBetween val="midCat"/>
      </c:valAx>
      <c:valAx>
        <c:axId val="55080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 (ueq/L)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5078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'2013 - 2016 All data'!$U$14:$U$47</c:f>
              <c:numCache>
                <c:formatCode>0.0</c:formatCode>
                <c:ptCount val="34"/>
                <c:pt idx="0">
                  <c:v>1.4269829503335805</c:v>
                </c:pt>
                <c:pt idx="1">
                  <c:v>1.8206078576723497</c:v>
                </c:pt>
                <c:pt idx="2">
                  <c:v>0</c:v>
                </c:pt>
                <c:pt idx="5">
                  <c:v>1.2961452928094885</c:v>
                </c:pt>
                <c:pt idx="6">
                  <c:v>0</c:v>
                </c:pt>
                <c:pt idx="7">
                  <c:v>1.6234247590808004</c:v>
                </c:pt>
                <c:pt idx="10">
                  <c:v>4.1823573017049664</c:v>
                </c:pt>
                <c:pt idx="11">
                  <c:v>8.1767200000000002E-3</c:v>
                </c:pt>
                <c:pt idx="12">
                  <c:v>4.2438843587842845</c:v>
                </c:pt>
                <c:pt idx="15">
                  <c:v>1.5259451445515197</c:v>
                </c:pt>
                <c:pt idx="16">
                  <c:v>0</c:v>
                </c:pt>
                <c:pt idx="17">
                  <c:v>0.95997034840622675</c:v>
                </c:pt>
                <c:pt idx="20">
                  <c:v>7.6189770200148255</c:v>
                </c:pt>
                <c:pt idx="21">
                  <c:v>1.4E-2</c:v>
                </c:pt>
                <c:pt idx="22">
                  <c:v>7.4017790956263898</c:v>
                </c:pt>
                <c:pt idx="23">
                  <c:v>19</c:v>
                </c:pt>
                <c:pt idx="25">
                  <c:v>7.8914010378057817</c:v>
                </c:pt>
                <c:pt idx="26">
                  <c:v>9.1805500000000009E-3</c:v>
                </c:pt>
                <c:pt idx="27">
                  <c:v>1.3676797627872499</c:v>
                </c:pt>
                <c:pt idx="30">
                  <c:v>5.7679762787249818</c:v>
                </c:pt>
                <c:pt idx="31">
                  <c:v>8.1408499999999998E-3</c:v>
                </c:pt>
                <c:pt idx="32">
                  <c:v>7.0163083765752399</c:v>
                </c:pt>
              </c:numCache>
            </c:numRef>
          </c:xVal>
          <c:yVal>
            <c:numRef>
              <c:f>'2013 - 2016 All data'!$V$14:$V$47</c:f>
              <c:numCache>
                <c:formatCode>0.0</c:formatCode>
                <c:ptCount val="34"/>
                <c:pt idx="0">
                  <c:v>0.56590257879656158</c:v>
                </c:pt>
                <c:pt idx="1">
                  <c:v>2.0707314889426089</c:v>
                </c:pt>
                <c:pt idx="2">
                  <c:v>0</c:v>
                </c:pt>
                <c:pt idx="5">
                  <c:v>0.69818246933476591</c:v>
                </c:pt>
                <c:pt idx="6">
                  <c:v>0</c:v>
                </c:pt>
                <c:pt idx="7">
                  <c:v>0.51755014326647564</c:v>
                </c:pt>
                <c:pt idx="10">
                  <c:v>1.2609902408451965</c:v>
                </c:pt>
                <c:pt idx="11">
                  <c:v>0</c:v>
                </c:pt>
                <c:pt idx="12">
                  <c:v>0.73244985673352425</c:v>
                </c:pt>
                <c:pt idx="15">
                  <c:v>2.011818426000537</c:v>
                </c:pt>
                <c:pt idx="16">
                  <c:v>0</c:v>
                </c:pt>
                <c:pt idx="17">
                  <c:v>0.45845272206303722</c:v>
                </c:pt>
                <c:pt idx="20">
                  <c:v>8.7200286507296987</c:v>
                </c:pt>
                <c:pt idx="21">
                  <c:v>0.13872200000000001</c:v>
                </c:pt>
                <c:pt idx="22">
                  <c:v>4.3194842406876788</c:v>
                </c:pt>
                <c:pt idx="23">
                  <c:v>272</c:v>
                </c:pt>
                <c:pt idx="25">
                  <c:v>7.5278001611603544</c:v>
                </c:pt>
                <c:pt idx="26">
                  <c:v>0.194129</c:v>
                </c:pt>
                <c:pt idx="27">
                  <c:v>3.125</c:v>
                </c:pt>
                <c:pt idx="28">
                  <c:v>36</c:v>
                </c:pt>
                <c:pt idx="30">
                  <c:v>4.1287492165816095</c:v>
                </c:pt>
                <c:pt idx="31">
                  <c:v>1.54012E-2</c:v>
                </c:pt>
                <c:pt idx="32">
                  <c:v>4.0866762177650422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7344"/>
        <c:axId val="77296384"/>
      </c:scatterChart>
      <c:valAx>
        <c:axId val="7213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 (ug/L)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7296384"/>
        <c:crosses val="autoZero"/>
        <c:crossBetween val="midCat"/>
      </c:valAx>
      <c:valAx>
        <c:axId val="77296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 (ug/L)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2137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'2013 - 2016 All data'!$AW$4:$AW$37</c:f>
              <c:numCache>
                <c:formatCode>0</c:formatCode>
                <c:ptCount val="34"/>
                <c:pt idx="0">
                  <c:v>140.95367723979746</c:v>
                </c:pt>
                <c:pt idx="1">
                  <c:v>95.274303450470228</c:v>
                </c:pt>
                <c:pt idx="2">
                  <c:v>70.088521593686067</c:v>
                </c:pt>
                <c:pt idx="3">
                  <c:v>71.108844103930721</c:v>
                </c:pt>
                <c:pt idx="5">
                  <c:v>370.80521221449959</c:v>
                </c:pt>
                <c:pt idx="6">
                  <c:v>408.94083080047886</c:v>
                </c:pt>
                <c:pt idx="7">
                  <c:v>330.52531380932891</c:v>
                </c:pt>
                <c:pt idx="8">
                  <c:v>389.35084943371089</c:v>
                </c:pt>
                <c:pt idx="10">
                  <c:v>406.78405897163742</c:v>
                </c:pt>
                <c:pt idx="11">
                  <c:v>443.39337188307553</c:v>
                </c:pt>
                <c:pt idx="12">
                  <c:v>491.10600886402187</c:v>
                </c:pt>
                <c:pt idx="13">
                  <c:v>434.40622918054635</c:v>
                </c:pt>
                <c:pt idx="15">
                  <c:v>177.2117085205779</c:v>
                </c:pt>
                <c:pt idx="16">
                  <c:v>185.48294851499756</c:v>
                </c:pt>
                <c:pt idx="17">
                  <c:v>157.31457183503733</c:v>
                </c:pt>
                <c:pt idx="18">
                  <c:v>163.76998667554966</c:v>
                </c:pt>
                <c:pt idx="20" formatCode="0.0">
                  <c:v>42.876114277136558</c:v>
                </c:pt>
                <c:pt idx="21">
                  <c:v>42.559375099538507</c:v>
                </c:pt>
                <c:pt idx="22">
                  <c:v>36.48013458885567</c:v>
                </c:pt>
                <c:pt idx="23">
                  <c:v>38.603431045969359</c:v>
                </c:pt>
                <c:pt idx="25">
                  <c:v>149.72092421819798</c:v>
                </c:pt>
                <c:pt idx="26">
                  <c:v>168.43158996374322</c:v>
                </c:pt>
                <c:pt idx="27">
                  <c:v>152.86881727175142</c:v>
                </c:pt>
                <c:pt idx="28">
                  <c:v>163.54930046635576</c:v>
                </c:pt>
                <c:pt idx="30" formatCode="0.0">
                  <c:v>55.571750129536277</c:v>
                </c:pt>
                <c:pt idx="31">
                  <c:v>55.60187943892879</c:v>
                </c:pt>
                <c:pt idx="32">
                  <c:v>59.436735615443951</c:v>
                </c:pt>
                <c:pt idx="33">
                  <c:v>54.467854763491012</c:v>
                </c:pt>
              </c:numCache>
            </c:numRef>
          </c:xVal>
          <c:yVal>
            <c:numRef>
              <c:f>'2013 - 2016 All data'!$AY$4:$AY$37</c:f>
              <c:numCache>
                <c:formatCode>0</c:formatCode>
                <c:ptCount val="34"/>
                <c:pt idx="0">
                  <c:v>466.43887578643898</c:v>
                </c:pt>
                <c:pt idx="1">
                  <c:v>217.88788894383362</c:v>
                </c:pt>
                <c:pt idx="2">
                  <c:v>123.48485939560162</c:v>
                </c:pt>
                <c:pt idx="3">
                  <c:v>167.00984401884185</c:v>
                </c:pt>
                <c:pt idx="5">
                  <c:v>881.5829104718398</c:v>
                </c:pt>
                <c:pt idx="6">
                  <c:v>945.32152930440861</c:v>
                </c:pt>
                <c:pt idx="7">
                  <c:v>669.51847957621862</c:v>
                </c:pt>
                <c:pt idx="8">
                  <c:v>885.91374495811351</c:v>
                </c:pt>
                <c:pt idx="10">
                  <c:v>983.98646201666702</c:v>
                </c:pt>
                <c:pt idx="11">
                  <c:v>1182.8447303508256</c:v>
                </c:pt>
                <c:pt idx="12">
                  <c:v>1247.732492612043</c:v>
                </c:pt>
                <c:pt idx="13">
                  <c:v>1126.3729444616818</c:v>
                </c:pt>
                <c:pt idx="15" formatCode="0.0">
                  <c:v>76.051344573766841</c:v>
                </c:pt>
                <c:pt idx="16">
                  <c:v>81.512896621800195</c:v>
                </c:pt>
                <c:pt idx="17">
                  <c:v>69.382641796524268</c:v>
                </c:pt>
                <c:pt idx="18">
                  <c:v>22.288663864835129</c:v>
                </c:pt>
                <c:pt idx="20" formatCode="0.0">
                  <c:v>45.668162762036026</c:v>
                </c:pt>
                <c:pt idx="21">
                  <c:v>51.583306216027864</c:v>
                </c:pt>
                <c:pt idx="22">
                  <c:v>48.675016258210107</c:v>
                </c:pt>
                <c:pt idx="23">
                  <c:v>52.020985530138489</c:v>
                </c:pt>
                <c:pt idx="25">
                  <c:v>374.51644392192884</c:v>
                </c:pt>
                <c:pt idx="26">
                  <c:v>407.19831325594726</c:v>
                </c:pt>
                <c:pt idx="27">
                  <c:v>336.93750469142407</c:v>
                </c:pt>
                <c:pt idx="28">
                  <c:v>365.05514342932895</c:v>
                </c:pt>
                <c:pt idx="30">
                  <c:v>309.12904511492502</c:v>
                </c:pt>
                <c:pt idx="31">
                  <c:v>374.0111189074662</c:v>
                </c:pt>
                <c:pt idx="32">
                  <c:v>178.11220590938063</c:v>
                </c:pt>
                <c:pt idx="33">
                  <c:v>238.81758948466981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13536"/>
        <c:axId val="77315456"/>
      </c:scatterChart>
      <c:valAx>
        <c:axId val="7731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SO4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7315456"/>
        <c:crosses val="autoZero"/>
        <c:crossBetween val="midCat"/>
      </c:valAx>
      <c:valAx>
        <c:axId val="77315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7313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4"/>
            <c:bubble3D val="0"/>
          </c:dPt>
          <c:trendline>
            <c:trendlineType val="linear"/>
            <c:dispRSqr val="1"/>
            <c:dispEq val="1"/>
            <c:trendlineLbl>
              <c:layout>
                <c:manualLayout>
                  <c:x val="-4.2948562334198907E-2"/>
                  <c:y val="-0.64465441819772529"/>
                </c:manualLayout>
              </c:layout>
              <c:numFmt formatCode="General" sourceLinked="0"/>
            </c:trendlineLbl>
          </c:trendline>
          <c:xVal>
            <c:numRef>
              <c:f>'2016 Data'!$K$4:$K$12</c:f>
              <c:numCache>
                <c:formatCode>0.0</c:formatCode>
                <c:ptCount val="9"/>
                <c:pt idx="0">
                  <c:v>54.3</c:v>
                </c:pt>
                <c:pt idx="1">
                  <c:v>229</c:v>
                </c:pt>
                <c:pt idx="2">
                  <c:v>362</c:v>
                </c:pt>
                <c:pt idx="3">
                  <c:v>161.4</c:v>
                </c:pt>
                <c:pt idx="4">
                  <c:v>268</c:v>
                </c:pt>
                <c:pt idx="5">
                  <c:v>25</c:v>
                </c:pt>
                <c:pt idx="6">
                  <c:v>51.3</c:v>
                </c:pt>
                <c:pt idx="7">
                  <c:v>267</c:v>
                </c:pt>
                <c:pt idx="8">
                  <c:v>63.9</c:v>
                </c:pt>
              </c:numCache>
            </c:numRef>
          </c:xVal>
          <c:yVal>
            <c:numRef>
              <c:f>'2016 Data'!$BJ$4:$BJ$12</c:f>
              <c:numCache>
                <c:formatCode>0.0E+00</c:formatCode>
                <c:ptCount val="9"/>
                <c:pt idx="0">
                  <c:v>3.3676695151793785E-4</c:v>
                </c:pt>
                <c:pt idx="1">
                  <c:v>1.3134232368626859E-3</c:v>
                </c:pt>
                <c:pt idx="2">
                  <c:v>1.9893837601951594E-3</c:v>
                </c:pt>
                <c:pt idx="3">
                  <c:v>9.8702524213385755E-4</c:v>
                </c:pt>
                <c:pt idx="4">
                  <c:v>1.6839814402906735E-3</c:v>
                </c:pt>
                <c:pt idx="5">
                  <c:v>2.1140328938150702E-4</c:v>
                </c:pt>
                <c:pt idx="6">
                  <c:v>3.3073314292596018E-4</c:v>
                </c:pt>
                <c:pt idx="7">
                  <c:v>1.6729765148836412E-3</c:v>
                </c:pt>
                <c:pt idx="8">
                  <c:v>4.1538888889673577E-4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30432"/>
        <c:axId val="106161664"/>
      </c:scatterChart>
      <c:valAx>
        <c:axId val="1061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(µS/cm)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6161664"/>
        <c:crosses val="autoZero"/>
        <c:crossBetween val="midCat"/>
      </c:valAx>
      <c:valAx>
        <c:axId val="106161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Ionic strength (µeq/L)</a:t>
                </a:r>
              </a:p>
            </c:rich>
          </c:tx>
          <c:overlay val="0"/>
        </c:title>
        <c:numFmt formatCode="0.0E+00" sourceLinked="1"/>
        <c:majorTickMark val="out"/>
        <c:minorTickMark val="none"/>
        <c:tickLblPos val="nextTo"/>
        <c:crossAx val="106130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197117599249142E-2"/>
                  <c:y val="0.30971055701370664"/>
                </c:manualLayout>
              </c:layout>
              <c:numFmt formatCode="General" sourceLinked="0"/>
            </c:trendlineLbl>
          </c:trendline>
          <c:xVal>
            <c:numRef>
              <c:f>'2016 Data'!$M$4:$M$12</c:f>
              <c:numCache>
                <c:formatCode>0.000</c:formatCode>
                <c:ptCount val="9"/>
                <c:pt idx="0">
                  <c:v>3.2000000000000001E-2</c:v>
                </c:pt>
                <c:pt idx="1">
                  <c:v>0.182</c:v>
                </c:pt>
                <c:pt idx="2">
                  <c:v>0.157</c:v>
                </c:pt>
                <c:pt idx="3">
                  <c:v>0.152</c:v>
                </c:pt>
                <c:pt idx="4">
                  <c:v>0.20799999999999999</c:v>
                </c:pt>
                <c:pt idx="5">
                  <c:v>0.17599999999999999</c:v>
                </c:pt>
                <c:pt idx="6">
                  <c:v>0.17</c:v>
                </c:pt>
                <c:pt idx="7">
                  <c:v>0.23100000000000001</c:v>
                </c:pt>
                <c:pt idx="8">
                  <c:v>0.36899999999999999</c:v>
                </c:pt>
              </c:numCache>
            </c:numRef>
          </c:xVal>
          <c:yVal>
            <c:numRef>
              <c:f>'2016 Data'!$N$4:$N$12</c:f>
              <c:numCache>
                <c:formatCode>General</c:formatCode>
                <c:ptCount val="9"/>
                <c:pt idx="0">
                  <c:v>2E-3</c:v>
                </c:pt>
                <c:pt idx="1">
                  <c:v>1.4999999999999999E-2</c:v>
                </c:pt>
                <c:pt idx="2">
                  <c:v>1.7000000000000001E-2</c:v>
                </c:pt>
                <c:pt idx="3">
                  <c:v>1.7999999999999999E-2</c:v>
                </c:pt>
                <c:pt idx="4">
                  <c:v>2.1000000000000001E-2</c:v>
                </c:pt>
                <c:pt idx="5" formatCode="0.000">
                  <c:v>2.1999999999999999E-2</c:v>
                </c:pt>
                <c:pt idx="6">
                  <c:v>2.4E-2</c:v>
                </c:pt>
                <c:pt idx="7">
                  <c:v>2.5999999999999999E-2</c:v>
                </c:pt>
                <c:pt idx="8">
                  <c:v>4.3999999999999997E-2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33472"/>
        <c:axId val="106665088"/>
      </c:scatterChart>
      <c:valAx>
        <c:axId val="10663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λ254</a:t>
                </a:r>
                <a:r>
                  <a:rPr lang="en-US"/>
                  <a:t>nm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6665088"/>
        <c:crosses val="autoZero"/>
        <c:crossBetween val="midCat"/>
      </c:valAx>
      <c:valAx>
        <c:axId val="10666508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λ400</a:t>
                </a:r>
                <a:r>
                  <a:rPr lang="en-US"/>
                  <a:t>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633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7.4448264543972117E-2"/>
                  <c:y val="0.35560657190578449"/>
                </c:manualLayout>
              </c:layout>
              <c:numFmt formatCode="General" sourceLinked="0"/>
            </c:trendlineLbl>
          </c:trendline>
          <c:xVal>
            <c:numRef>
              <c:f>'2016 Data'!$M$4:$M$12</c:f>
              <c:numCache>
                <c:formatCode>0.000</c:formatCode>
                <c:ptCount val="9"/>
                <c:pt idx="0">
                  <c:v>3.2000000000000001E-2</c:v>
                </c:pt>
                <c:pt idx="1">
                  <c:v>0.182</c:v>
                </c:pt>
                <c:pt idx="2">
                  <c:v>0.157</c:v>
                </c:pt>
                <c:pt idx="3">
                  <c:v>0.152</c:v>
                </c:pt>
                <c:pt idx="4">
                  <c:v>0.20799999999999999</c:v>
                </c:pt>
                <c:pt idx="5">
                  <c:v>0.17599999999999999</c:v>
                </c:pt>
                <c:pt idx="6">
                  <c:v>0.17</c:v>
                </c:pt>
                <c:pt idx="7">
                  <c:v>0.23100000000000001</c:v>
                </c:pt>
                <c:pt idx="8">
                  <c:v>0.36899999999999999</c:v>
                </c:pt>
              </c:numCache>
            </c:numRef>
          </c:xVal>
          <c:yVal>
            <c:numRef>
              <c:f>'2016 Data'!$P$4:$P$12</c:f>
              <c:numCache>
                <c:formatCode>0.00</c:formatCode>
                <c:ptCount val="9"/>
                <c:pt idx="0">
                  <c:v>1.9470000000000001</c:v>
                </c:pt>
                <c:pt idx="1">
                  <c:v>7.7439999999999998</c:v>
                </c:pt>
                <c:pt idx="2">
                  <c:v>7.7350000000000003</c:v>
                </c:pt>
                <c:pt idx="3">
                  <c:v>8.85</c:v>
                </c:pt>
                <c:pt idx="4">
                  <c:v>6.0659999999999998</c:v>
                </c:pt>
                <c:pt idx="5">
                  <c:v>4.4169999999999998</c:v>
                </c:pt>
                <c:pt idx="6">
                  <c:v>4.13</c:v>
                </c:pt>
                <c:pt idx="7">
                  <c:v>12.46</c:v>
                </c:pt>
                <c:pt idx="8">
                  <c:v>8.6389999999999993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23200"/>
        <c:axId val="110691456"/>
      </c:scatterChart>
      <c:valAx>
        <c:axId val="1103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 i="0" baseline="0">
                    <a:effectLst/>
                  </a:rPr>
                  <a:t>Abs. @ </a:t>
                </a:r>
                <a:r>
                  <a:rPr lang="el-GR" sz="1100" b="1" i="0" baseline="0">
                    <a:effectLst/>
                  </a:rPr>
                  <a:t>λ</a:t>
                </a:r>
                <a:r>
                  <a:rPr lang="nb-NO" sz="1100" b="1" i="0" baseline="0">
                    <a:effectLst/>
                  </a:rPr>
                  <a:t>254</a:t>
                </a:r>
                <a:r>
                  <a:rPr lang="en-US" sz="1100" b="1" i="0" baseline="0">
                    <a:effectLst/>
                  </a:rPr>
                  <a:t>nm</a:t>
                </a:r>
                <a:endParaRPr lang="en-GB" sz="600">
                  <a:effectLst/>
                </a:endParaRP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10691456"/>
        <c:crosses val="autoZero"/>
        <c:crossBetween val="midCat"/>
      </c:valAx>
      <c:valAx>
        <c:axId val="110691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DOC (mg/L)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0323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'2016 Data'!$AV$4:$AV$12</c:f>
              <c:numCache>
                <c:formatCode>0</c:formatCode>
                <c:ptCount val="9"/>
                <c:pt idx="0">
                  <c:v>286.19192574479763</c:v>
                </c:pt>
                <c:pt idx="1">
                  <c:v>1294.2262587953487</c:v>
                </c:pt>
                <c:pt idx="2">
                  <c:v>1169.2699236488845</c:v>
                </c:pt>
                <c:pt idx="3">
                  <c:v>749.28888667099159</c:v>
                </c:pt>
                <c:pt idx="4">
                  <c:v>1025.101052946754</c:v>
                </c:pt>
                <c:pt idx="5">
                  <c:v>107.1909775936923</c:v>
                </c:pt>
                <c:pt idx="6">
                  <c:v>181.54598532860919</c:v>
                </c:pt>
                <c:pt idx="7">
                  <c:v>990.11926742851438</c:v>
                </c:pt>
                <c:pt idx="8">
                  <c:v>214.53166325664955</c:v>
                </c:pt>
              </c:numCache>
            </c:numRef>
          </c:xVal>
          <c:yVal>
            <c:numRef>
              <c:f>'2016 Data'!$AW$4:$AW$12</c:f>
              <c:numCache>
                <c:formatCode>0</c:formatCode>
                <c:ptCount val="9"/>
                <c:pt idx="0">
                  <c:v>101.84271141822967</c:v>
                </c:pt>
                <c:pt idx="1">
                  <c:v>306.43303718328394</c:v>
                </c:pt>
                <c:pt idx="2">
                  <c:v>251.64527805199077</c:v>
                </c:pt>
                <c:pt idx="3">
                  <c:v>209.52615992102668</c:v>
                </c:pt>
                <c:pt idx="4">
                  <c:v>360.15136558078314</c:v>
                </c:pt>
                <c:pt idx="5">
                  <c:v>138.94373149062193</c:v>
                </c:pt>
                <c:pt idx="6" formatCode="0.0">
                  <c:v>77.65712405396512</c:v>
                </c:pt>
                <c:pt idx="7">
                  <c:v>237.57815070746955</c:v>
                </c:pt>
                <c:pt idx="8" formatCode="0.0">
                  <c:v>85.636722606120429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02976"/>
        <c:axId val="110705280"/>
      </c:scatterChart>
      <c:valAx>
        <c:axId val="11070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0705280"/>
        <c:crosses val="autoZero"/>
        <c:crossBetween val="midCat"/>
      </c:valAx>
      <c:valAx>
        <c:axId val="110705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0702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'2016 Data'!$AX$4:$AX$12</c:f>
              <c:numCache>
                <c:formatCode>0</c:formatCode>
                <c:ptCount val="9"/>
                <c:pt idx="0" formatCode="0.0">
                  <c:v>78.555893866898671</c:v>
                </c:pt>
                <c:pt idx="1">
                  <c:v>448.15137016093956</c:v>
                </c:pt>
                <c:pt idx="2">
                  <c:v>883.03610265332759</c:v>
                </c:pt>
                <c:pt idx="3">
                  <c:v>318.35580687255333</c:v>
                </c:pt>
                <c:pt idx="4">
                  <c:v>623.35798173118746</c:v>
                </c:pt>
                <c:pt idx="5" formatCode="0.0">
                  <c:v>61.85297955632884</c:v>
                </c:pt>
                <c:pt idx="6">
                  <c:v>135.6241844280122</c:v>
                </c:pt>
                <c:pt idx="7">
                  <c:v>644.28012179208349</c:v>
                </c:pt>
                <c:pt idx="8">
                  <c:v>209.09090909090912</c:v>
                </c:pt>
              </c:numCache>
            </c:numRef>
          </c:xVal>
          <c:yVal>
            <c:numRef>
              <c:f>'2016 Data'!$AY$4:$AY$12</c:f>
              <c:numCache>
                <c:formatCode>0.0</c:formatCode>
                <c:ptCount val="9"/>
                <c:pt idx="0">
                  <c:v>15.191038821543655</c:v>
                </c:pt>
                <c:pt idx="1">
                  <c:v>47.312157945885126</c:v>
                </c:pt>
                <c:pt idx="2">
                  <c:v>96.261060815303566</c:v>
                </c:pt>
                <c:pt idx="3">
                  <c:v>38.335635005882061</c:v>
                </c:pt>
                <c:pt idx="4">
                  <c:v>82.220858268119287</c:v>
                </c:pt>
                <c:pt idx="5">
                  <c:v>11.406066185872847</c:v>
                </c:pt>
                <c:pt idx="6">
                  <c:v>15.165464682113447</c:v>
                </c:pt>
                <c:pt idx="7" formatCode="0">
                  <c:v>105.1352871975858</c:v>
                </c:pt>
                <c:pt idx="8">
                  <c:v>20.945220193340493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77440"/>
        <c:axId val="133679360"/>
      </c:scatterChart>
      <c:valAx>
        <c:axId val="1336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3679360"/>
        <c:crosses val="autoZero"/>
        <c:crossBetween val="midCat"/>
      </c:valAx>
      <c:valAx>
        <c:axId val="1336793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 (ueq/L)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3677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Aluminium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9697749156689651"/>
          <c:y val="0.16251166520851559"/>
          <c:w val="0.73600902335503005"/>
          <c:h val="0.530148366870807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'2016 Data'!$B$4:$B$12</c:f>
              <c:strCache>
                <c:ptCount val="9"/>
                <c:pt idx="0">
                  <c:v>Lutvann</c:v>
                </c:pt>
                <c:pt idx="1">
                  <c:v>Nesøytjernet</c:v>
                </c:pt>
                <c:pt idx="2">
                  <c:v>Kolbotnvann</c:v>
                </c:pt>
                <c:pt idx="3">
                  <c:v>Østensjøvannet</c:v>
                </c:pt>
                <c:pt idx="4">
                  <c:v>Årungen</c:v>
                </c:pt>
                <c:pt idx="5">
                  <c:v>Maridalsvannet</c:v>
                </c:pt>
                <c:pt idx="6">
                  <c:v>Akerselva</c:v>
                </c:pt>
                <c:pt idx="7">
                  <c:v>Gjersjøen</c:v>
                </c:pt>
                <c:pt idx="8">
                  <c:v>Sværsvann</c:v>
                </c:pt>
              </c:strCache>
            </c:strRef>
          </c:cat>
          <c:val>
            <c:numRef>
              <c:f>'2016 Data'!$W$4:$W$12</c:f>
              <c:numCache>
                <c:formatCode>General</c:formatCode>
                <c:ptCount val="9"/>
                <c:pt idx="8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24544"/>
        <c:axId val="135037696"/>
      </c:barChart>
      <c:catAx>
        <c:axId val="13492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037696"/>
        <c:crosses val="autoZero"/>
        <c:auto val="1"/>
        <c:lblAlgn val="ctr"/>
        <c:lblOffset val="100"/>
        <c:noMultiLvlLbl val="0"/>
      </c:catAx>
      <c:valAx>
        <c:axId val="135037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µeq/L 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3492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147636</xdr:colOff>
      <xdr:row>46</xdr:row>
      <xdr:rowOff>147637</xdr:rowOff>
    </xdr:from>
    <xdr:to>
      <xdr:col>54</xdr:col>
      <xdr:colOff>56029</xdr:colOff>
      <xdr:row>75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157368</xdr:colOff>
      <xdr:row>75</xdr:row>
      <xdr:rowOff>157369</xdr:rowOff>
    </xdr:from>
    <xdr:to>
      <xdr:col>54</xdr:col>
      <xdr:colOff>33129</xdr:colOff>
      <xdr:row>104</xdr:row>
      <xdr:rowOff>38307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56030</xdr:colOff>
      <xdr:row>15</xdr:row>
      <xdr:rowOff>19878</xdr:rowOff>
    </xdr:from>
    <xdr:to>
      <xdr:col>9</xdr:col>
      <xdr:colOff>575642</xdr:colOff>
      <xdr:row>29</xdr:row>
      <xdr:rowOff>96078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280989</xdr:colOff>
      <xdr:row>25</xdr:row>
      <xdr:rowOff>85793</xdr:rowOff>
    </xdr:from>
    <xdr:ext cx="697499" cy="264560"/>
    <xdr:sp macro="" textlink="">
      <xdr:nvSpPr>
        <xdr:cNvPr id="5" name="TextBox 4"/>
        <xdr:cNvSpPr txBox="1"/>
      </xdr:nvSpPr>
      <xdr:spPr>
        <a:xfrm>
          <a:off x="7968224" y="4624175"/>
          <a:ext cx="697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Oligotrof</a:t>
          </a:r>
        </a:p>
      </xdr:txBody>
    </xdr:sp>
    <xdr:clientData/>
  </xdr:oneCellAnchor>
  <xdr:oneCellAnchor>
    <xdr:from>
      <xdr:col>8</xdr:col>
      <xdr:colOff>466861</xdr:colOff>
      <xdr:row>20</xdr:row>
      <xdr:rowOff>159708</xdr:rowOff>
    </xdr:from>
    <xdr:ext cx="541495" cy="264560"/>
    <xdr:sp macro="" textlink="">
      <xdr:nvSpPr>
        <xdr:cNvPr id="6" name="TextBox 5"/>
        <xdr:cNvSpPr txBox="1"/>
      </xdr:nvSpPr>
      <xdr:spPr>
        <a:xfrm>
          <a:off x="8154096" y="3745590"/>
          <a:ext cx="541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Eutrof</a:t>
          </a:r>
        </a:p>
      </xdr:txBody>
    </xdr:sp>
    <xdr:clientData/>
  </xdr:oneCellAnchor>
  <xdr:oneCellAnchor>
    <xdr:from>
      <xdr:col>7</xdr:col>
      <xdr:colOff>784853</xdr:colOff>
      <xdr:row>15</xdr:row>
      <xdr:rowOff>70128</xdr:rowOff>
    </xdr:from>
    <xdr:ext cx="953531" cy="264560"/>
    <xdr:sp macro="" textlink="">
      <xdr:nvSpPr>
        <xdr:cNvPr id="7" name="TextBox 6"/>
        <xdr:cNvSpPr txBox="1"/>
      </xdr:nvSpPr>
      <xdr:spPr>
        <a:xfrm>
          <a:off x="7396324" y="2703510"/>
          <a:ext cx="9535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Kalkbergrunn</a:t>
          </a:r>
        </a:p>
      </xdr:txBody>
    </xdr:sp>
    <xdr:clientData/>
  </xdr:oneCellAnchor>
  <xdr:oneCellAnchor>
    <xdr:from>
      <xdr:col>8</xdr:col>
      <xdr:colOff>154195</xdr:colOff>
      <xdr:row>23</xdr:row>
      <xdr:rowOff>105314</xdr:rowOff>
    </xdr:from>
    <xdr:ext cx="604333" cy="264560"/>
    <xdr:sp macro="" textlink="">
      <xdr:nvSpPr>
        <xdr:cNvPr id="8" name="TextBox 7"/>
        <xdr:cNvSpPr txBox="1"/>
      </xdr:nvSpPr>
      <xdr:spPr>
        <a:xfrm>
          <a:off x="7841430" y="4262696"/>
          <a:ext cx="6043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Dystrof</a:t>
          </a:r>
        </a:p>
      </xdr:txBody>
    </xdr:sp>
    <xdr:clientData/>
  </xdr:oneCellAnchor>
  <xdr:twoCellAnchor>
    <xdr:from>
      <xdr:col>4</xdr:col>
      <xdr:colOff>56030</xdr:colOff>
      <xdr:row>30</xdr:row>
      <xdr:rowOff>16565</xdr:rowOff>
    </xdr:from>
    <xdr:to>
      <xdr:col>9</xdr:col>
      <xdr:colOff>604631</xdr:colOff>
      <xdr:row>42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7551</xdr:colOff>
      <xdr:row>14</xdr:row>
      <xdr:rowOff>187477</xdr:rowOff>
    </xdr:from>
    <xdr:to>
      <xdr:col>14</xdr:col>
      <xdr:colOff>997323</xdr:colOff>
      <xdr:row>29</xdr:row>
      <xdr:rowOff>73177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56030</xdr:colOff>
      <xdr:row>30</xdr:row>
      <xdr:rowOff>39465</xdr:rowOff>
    </xdr:from>
    <xdr:to>
      <xdr:col>15</xdr:col>
      <xdr:colOff>22413</xdr:colOff>
      <xdr:row>42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239933</xdr:colOff>
      <xdr:row>15</xdr:row>
      <xdr:rowOff>69573</xdr:rowOff>
    </xdr:from>
    <xdr:to>
      <xdr:col>20</xdr:col>
      <xdr:colOff>466974</xdr:colOff>
      <xdr:row>29</xdr:row>
      <xdr:rowOff>145773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272822</xdr:colOff>
      <xdr:row>42</xdr:row>
      <xdr:rowOff>32643</xdr:rowOff>
    </xdr:from>
    <xdr:to>
      <xdr:col>20</xdr:col>
      <xdr:colOff>499863</xdr:colOff>
      <xdr:row>53</xdr:row>
      <xdr:rowOff>33617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521634</xdr:colOff>
      <xdr:row>15</xdr:row>
      <xdr:rowOff>82363</xdr:rowOff>
    </xdr:from>
    <xdr:to>
      <xdr:col>24</xdr:col>
      <xdr:colOff>928408</xdr:colOff>
      <xdr:row>29</xdr:row>
      <xdr:rowOff>158563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529478</xdr:colOff>
      <xdr:row>30</xdr:row>
      <xdr:rowOff>105896</xdr:rowOff>
    </xdr:from>
    <xdr:to>
      <xdr:col>24</xdr:col>
      <xdr:colOff>936252</xdr:colOff>
      <xdr:row>42</xdr:row>
      <xdr:rowOff>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529478</xdr:colOff>
      <xdr:row>42</xdr:row>
      <xdr:rowOff>0</xdr:rowOff>
    </xdr:from>
    <xdr:to>
      <xdr:col>24</xdr:col>
      <xdr:colOff>936252</xdr:colOff>
      <xdr:row>53</xdr:row>
      <xdr:rowOff>96931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28575</xdr:colOff>
      <xdr:row>15</xdr:row>
      <xdr:rowOff>75640</xdr:rowOff>
    </xdr:from>
    <xdr:to>
      <xdr:col>36</xdr:col>
      <xdr:colOff>645458</xdr:colOff>
      <xdr:row>29</xdr:row>
      <xdr:rowOff>151840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83484</xdr:colOff>
      <xdr:row>15</xdr:row>
      <xdr:rowOff>176494</xdr:rowOff>
    </xdr:from>
    <xdr:to>
      <xdr:col>34</xdr:col>
      <xdr:colOff>145676</xdr:colOff>
      <xdr:row>19</xdr:row>
      <xdr:rowOff>44824</xdr:rowOff>
    </xdr:to>
    <xdr:sp macro="" textlink="">
      <xdr:nvSpPr>
        <xdr:cNvPr id="35" name="TextBox 34"/>
        <xdr:cNvSpPr txBox="1"/>
      </xdr:nvSpPr>
      <xdr:spPr>
        <a:xfrm>
          <a:off x="25386366" y="2809876"/>
          <a:ext cx="2482663" cy="630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Both are mobile anions .</a:t>
          </a:r>
        </a:p>
        <a:p>
          <a:r>
            <a:rPr lang="en-GB" sz="1100"/>
            <a:t>Indication</a:t>
          </a:r>
          <a:r>
            <a:rPr lang="en-GB" sz="1100" baseline="0"/>
            <a:t> of dilution/evapotranspiration </a:t>
          </a:r>
          <a:endParaRPr lang="en-GB" sz="1100"/>
        </a:p>
      </xdr:txBody>
    </xdr:sp>
    <xdr:clientData/>
  </xdr:twoCellAnchor>
  <xdr:twoCellAnchor>
    <xdr:from>
      <xdr:col>36</xdr:col>
      <xdr:colOff>1016372</xdr:colOff>
      <xdr:row>15</xdr:row>
      <xdr:rowOff>62193</xdr:rowOff>
    </xdr:from>
    <xdr:to>
      <xdr:col>42</xdr:col>
      <xdr:colOff>551888</xdr:colOff>
      <xdr:row>29</xdr:row>
      <xdr:rowOff>138393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55</xdr:row>
      <xdr:rowOff>0</xdr:rowOff>
    </xdr:from>
    <xdr:to>
      <xdr:col>14</xdr:col>
      <xdr:colOff>1019736</xdr:colOff>
      <xdr:row>69</xdr:row>
      <xdr:rowOff>76200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14</xdr:col>
      <xdr:colOff>1019736</xdr:colOff>
      <xdr:row>84</xdr:row>
      <xdr:rowOff>76200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112059</xdr:colOff>
      <xdr:row>55</xdr:row>
      <xdr:rowOff>0</xdr:rowOff>
    </xdr:from>
    <xdr:to>
      <xdr:col>9</xdr:col>
      <xdr:colOff>717177</xdr:colOff>
      <xdr:row>69</xdr:row>
      <xdr:rowOff>76200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78442</xdr:colOff>
      <xdr:row>42</xdr:row>
      <xdr:rowOff>0</xdr:rowOff>
    </xdr:from>
    <xdr:to>
      <xdr:col>9</xdr:col>
      <xdr:colOff>694765</xdr:colOff>
      <xdr:row>54</xdr:row>
      <xdr:rowOff>76200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89646</xdr:colOff>
      <xdr:row>30</xdr:row>
      <xdr:rowOff>156883</xdr:rowOff>
    </xdr:from>
    <xdr:to>
      <xdr:col>36</xdr:col>
      <xdr:colOff>706529</xdr:colOff>
      <xdr:row>45</xdr:row>
      <xdr:rowOff>33618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37</xdr:col>
      <xdr:colOff>22411</xdr:colOff>
      <xdr:row>47</xdr:row>
      <xdr:rowOff>112058</xdr:rowOff>
    </xdr:from>
    <xdr:to>
      <xdr:col>42</xdr:col>
      <xdr:colOff>588868</xdr:colOff>
      <xdr:row>58</xdr:row>
      <xdr:rowOff>100853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37</xdr:col>
      <xdr:colOff>33617</xdr:colOff>
      <xdr:row>59</xdr:row>
      <xdr:rowOff>123265</xdr:rowOff>
    </xdr:from>
    <xdr:to>
      <xdr:col>42</xdr:col>
      <xdr:colOff>600074</xdr:colOff>
      <xdr:row>72</xdr:row>
      <xdr:rowOff>64994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87</xdr:col>
      <xdr:colOff>268942</xdr:colOff>
      <xdr:row>0</xdr:row>
      <xdr:rowOff>197223</xdr:rowOff>
    </xdr:from>
    <xdr:to>
      <xdr:col>95</xdr:col>
      <xdr:colOff>89646</xdr:colOff>
      <xdr:row>14</xdr:row>
      <xdr:rowOff>82923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oneCellAnchor>
    <xdr:from>
      <xdr:col>9</xdr:col>
      <xdr:colOff>1680</xdr:colOff>
      <xdr:row>55</xdr:row>
      <xdr:rowOff>33618</xdr:rowOff>
    </xdr:from>
    <xdr:ext cx="801566" cy="264560"/>
    <xdr:sp macro="" textlink="">
      <xdr:nvSpPr>
        <xdr:cNvPr id="58" name="TextBox 57"/>
        <xdr:cNvSpPr txBox="1"/>
      </xdr:nvSpPr>
      <xdr:spPr>
        <a:xfrm>
          <a:off x="8282827" y="10410265"/>
          <a:ext cx="8015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Dystrophic</a:t>
          </a:r>
        </a:p>
      </xdr:txBody>
    </xdr:sp>
    <xdr:clientData/>
  </xdr:oneCellAnchor>
  <xdr:oneCellAnchor>
    <xdr:from>
      <xdr:col>13</xdr:col>
      <xdr:colOff>1019735</xdr:colOff>
      <xdr:row>54</xdr:row>
      <xdr:rowOff>179294</xdr:rowOff>
    </xdr:from>
    <xdr:ext cx="1163395" cy="264560"/>
    <xdr:sp macro="" textlink="">
      <xdr:nvSpPr>
        <xdr:cNvPr id="59" name="TextBox 58"/>
        <xdr:cNvSpPr txBox="1"/>
      </xdr:nvSpPr>
      <xdr:spPr>
        <a:xfrm>
          <a:off x="12830735" y="10365441"/>
          <a:ext cx="11633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High aromaticity </a:t>
          </a:r>
        </a:p>
      </xdr:txBody>
    </xdr:sp>
    <xdr:clientData/>
  </xdr:oneCellAnchor>
  <xdr:oneCellAnchor>
    <xdr:from>
      <xdr:col>13</xdr:col>
      <xdr:colOff>74399</xdr:colOff>
      <xdr:row>30</xdr:row>
      <xdr:rowOff>32033</xdr:rowOff>
    </xdr:from>
    <xdr:ext cx="502895" cy="264560"/>
    <xdr:sp macro="" textlink="">
      <xdr:nvSpPr>
        <xdr:cNvPr id="40" name="TextBox 39"/>
        <xdr:cNvSpPr txBox="1"/>
      </xdr:nvSpPr>
      <xdr:spPr>
        <a:xfrm>
          <a:off x="11885399" y="5522915"/>
          <a:ext cx="5028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Algae</a:t>
          </a:r>
        </a:p>
      </xdr:txBody>
    </xdr:sp>
    <xdr:clientData/>
  </xdr:oneCellAnchor>
  <xdr:oneCellAnchor>
    <xdr:from>
      <xdr:col>13</xdr:col>
      <xdr:colOff>993681</xdr:colOff>
      <xdr:row>59</xdr:row>
      <xdr:rowOff>92505</xdr:rowOff>
    </xdr:from>
    <xdr:ext cx="502895" cy="264560"/>
    <xdr:sp macro="" textlink="">
      <xdr:nvSpPr>
        <xdr:cNvPr id="43" name="TextBox 42"/>
        <xdr:cNvSpPr txBox="1"/>
      </xdr:nvSpPr>
      <xdr:spPr>
        <a:xfrm>
          <a:off x="12804681" y="11231152"/>
          <a:ext cx="5028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Algae</a:t>
          </a:r>
        </a:p>
      </xdr:txBody>
    </xdr:sp>
    <xdr:clientData/>
  </xdr:oneCellAnchor>
  <xdr:twoCellAnchor>
    <xdr:from>
      <xdr:col>87</xdr:col>
      <xdr:colOff>274543</xdr:colOff>
      <xdr:row>14</xdr:row>
      <xdr:rowOff>163605</xdr:rowOff>
    </xdr:from>
    <xdr:to>
      <xdr:col>95</xdr:col>
      <xdr:colOff>95249</xdr:colOff>
      <xdr:row>29</xdr:row>
      <xdr:rowOff>49305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145677</xdr:colOff>
      <xdr:row>42</xdr:row>
      <xdr:rowOff>145677</xdr:rowOff>
    </xdr:from>
    <xdr:to>
      <xdr:col>15</xdr:col>
      <xdr:colOff>89648</xdr:colOff>
      <xdr:row>54</xdr:row>
      <xdr:rowOff>109818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46</xdr:col>
      <xdr:colOff>123265</xdr:colOff>
      <xdr:row>105</xdr:row>
      <xdr:rowOff>11206</xdr:rowOff>
    </xdr:from>
    <xdr:to>
      <xdr:col>53</xdr:col>
      <xdr:colOff>861879</xdr:colOff>
      <xdr:row>133</xdr:row>
      <xdr:rowOff>82644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54</xdr:col>
      <xdr:colOff>224117</xdr:colOff>
      <xdr:row>105</xdr:row>
      <xdr:rowOff>44824</xdr:rowOff>
    </xdr:from>
    <xdr:to>
      <xdr:col>84</xdr:col>
      <xdr:colOff>155907</xdr:colOff>
      <xdr:row>133</xdr:row>
      <xdr:rowOff>116262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16</xdr:col>
      <xdr:colOff>235324</xdr:colOff>
      <xdr:row>30</xdr:row>
      <xdr:rowOff>0</xdr:rowOff>
    </xdr:from>
    <xdr:to>
      <xdr:col>20</xdr:col>
      <xdr:colOff>462365</xdr:colOff>
      <xdr:row>42</xdr:row>
      <xdr:rowOff>11206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oneCellAnchor>
    <xdr:from>
      <xdr:col>21</xdr:col>
      <xdr:colOff>896470</xdr:colOff>
      <xdr:row>18</xdr:row>
      <xdr:rowOff>179294</xdr:rowOff>
    </xdr:from>
    <xdr:ext cx="2365328" cy="264560"/>
    <xdr:sp macro="" textlink="">
      <xdr:nvSpPr>
        <xdr:cNvPr id="9" name="TextBox 8"/>
        <xdr:cNvSpPr txBox="1"/>
      </xdr:nvSpPr>
      <xdr:spPr>
        <a:xfrm>
          <a:off x="22725529" y="3798794"/>
          <a:ext cx="23653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Clear link between DNOM and Al &amp; Fe</a:t>
          </a:r>
        </a:p>
      </xdr:txBody>
    </xdr:sp>
    <xdr:clientData/>
  </xdr:oneCellAnchor>
  <xdr:oneCellAnchor>
    <xdr:from>
      <xdr:col>55</xdr:col>
      <xdr:colOff>1322295</xdr:colOff>
      <xdr:row>102</xdr:row>
      <xdr:rowOff>78441</xdr:rowOff>
    </xdr:from>
    <xdr:ext cx="3510576" cy="264560"/>
    <xdr:sp macro="" textlink="">
      <xdr:nvSpPr>
        <xdr:cNvPr id="12" name="TextBox 11"/>
        <xdr:cNvSpPr txBox="1"/>
      </xdr:nvSpPr>
      <xdr:spPr>
        <a:xfrm>
          <a:off x="46997471" y="21033441"/>
          <a:ext cx="3510576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Generelt et</a:t>
          </a:r>
          <a:r>
            <a:rPr lang="nb-NO" sz="1100" baseline="0"/>
            <a:t> negativt forhold mellom bikarbonat og DNOM</a:t>
          </a:r>
          <a:endParaRPr lang="nb-NO" sz="1100"/>
        </a:p>
      </xdr:txBody>
    </xdr:sp>
    <xdr:clientData/>
  </xdr:oneCellAnchor>
  <xdr:twoCellAnchor>
    <xdr:from>
      <xdr:col>95</xdr:col>
      <xdr:colOff>414618</xdr:colOff>
      <xdr:row>14</xdr:row>
      <xdr:rowOff>163606</xdr:rowOff>
    </xdr:from>
    <xdr:to>
      <xdr:col>109</xdr:col>
      <xdr:colOff>381000</xdr:colOff>
      <xdr:row>29</xdr:row>
      <xdr:rowOff>49306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oneCellAnchor>
    <xdr:from>
      <xdr:col>5</xdr:col>
      <xdr:colOff>299749</xdr:colOff>
      <xdr:row>58</xdr:row>
      <xdr:rowOff>73959</xdr:rowOff>
    </xdr:from>
    <xdr:ext cx="894732" cy="264560"/>
    <xdr:sp macro="" textlink="">
      <xdr:nvSpPr>
        <xdr:cNvPr id="56" name="TextBox 55"/>
        <xdr:cNvSpPr txBox="1"/>
      </xdr:nvSpPr>
      <xdr:spPr>
        <a:xfrm>
          <a:off x="5376014" y="11022106"/>
          <a:ext cx="8947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Oligotrophic</a:t>
          </a:r>
        </a:p>
      </xdr:txBody>
    </xdr:sp>
    <xdr:clientData/>
  </xdr:oneCellAnchor>
  <xdr:oneCellAnchor>
    <xdr:from>
      <xdr:col>30</xdr:col>
      <xdr:colOff>33618</xdr:colOff>
      <xdr:row>39</xdr:row>
      <xdr:rowOff>67236</xdr:rowOff>
    </xdr:from>
    <xdr:ext cx="644920" cy="264560"/>
    <xdr:sp macro="" textlink="">
      <xdr:nvSpPr>
        <xdr:cNvPr id="18" name="TextBox 17"/>
        <xdr:cNvSpPr txBox="1"/>
      </xdr:nvSpPr>
      <xdr:spPr>
        <a:xfrm>
          <a:off x="25336500" y="7272618"/>
          <a:ext cx="6449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Lutvann</a:t>
          </a:r>
        </a:p>
      </xdr:txBody>
    </xdr:sp>
    <xdr:clientData/>
  </xdr:oneCellAnchor>
  <xdr:oneCellAnchor>
    <xdr:from>
      <xdr:col>35</xdr:col>
      <xdr:colOff>298076</xdr:colOff>
      <xdr:row>31</xdr:row>
      <xdr:rowOff>129986</xdr:rowOff>
    </xdr:from>
    <xdr:ext cx="909095" cy="264560"/>
    <xdr:sp macro="" textlink="">
      <xdr:nvSpPr>
        <xdr:cNvPr id="60" name="TextBox 59"/>
        <xdr:cNvSpPr txBox="1"/>
      </xdr:nvSpPr>
      <xdr:spPr>
        <a:xfrm>
          <a:off x="28626547" y="5811368"/>
          <a:ext cx="9090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Kolbotntjern</a:t>
          </a:r>
        </a:p>
      </xdr:txBody>
    </xdr:sp>
    <xdr:clientData/>
  </xdr:oneCellAnchor>
  <xdr:twoCellAnchor>
    <xdr:from>
      <xdr:col>37</xdr:col>
      <xdr:colOff>0</xdr:colOff>
      <xdr:row>30</xdr:row>
      <xdr:rowOff>0</xdr:rowOff>
    </xdr:from>
    <xdr:to>
      <xdr:col>42</xdr:col>
      <xdr:colOff>566457</xdr:colOff>
      <xdr:row>44</xdr:row>
      <xdr:rowOff>53788</xdr:rowOff>
    </xdr:to>
    <xdr:graphicFrame macro="">
      <xdr:nvGraphicFramePr>
        <xdr:cNvPr id="61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0.14706</cdr:x>
      <cdr:y>0.05474</cdr:y>
    </cdr:from>
    <cdr:to>
      <cdr:x>0.94118</cdr:x>
      <cdr:y>0.79003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 flipV="1">
          <a:off x="672353" y="150160"/>
          <a:ext cx="3630706" cy="20170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48698</xdr:colOff>
      <xdr:row>71</xdr:row>
      <xdr:rowOff>100852</xdr:rowOff>
    </xdr:from>
    <xdr:to>
      <xdr:col>15</xdr:col>
      <xdr:colOff>490348</xdr:colOff>
      <xdr:row>106</xdr:row>
      <xdr:rowOff>112058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51" y="11721352"/>
          <a:ext cx="8913297" cy="5804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22409</xdr:colOff>
      <xdr:row>76</xdr:row>
      <xdr:rowOff>22412</xdr:rowOff>
    </xdr:from>
    <xdr:to>
      <xdr:col>8</xdr:col>
      <xdr:colOff>67236</xdr:colOff>
      <xdr:row>102</xdr:row>
      <xdr:rowOff>22416</xdr:rowOff>
    </xdr:to>
    <xdr:cxnSp macro="">
      <xdr:nvCxnSpPr>
        <xdr:cNvPr id="4" name="Straight Connector 3"/>
        <xdr:cNvCxnSpPr/>
      </xdr:nvCxnSpPr>
      <xdr:spPr bwMode="auto">
        <a:xfrm flipV="1">
          <a:off x="5121085" y="12427324"/>
          <a:ext cx="44827" cy="42470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414618</xdr:colOff>
      <xdr:row>93</xdr:row>
      <xdr:rowOff>134470</xdr:rowOff>
    </xdr:from>
    <xdr:to>
      <xdr:col>15</xdr:col>
      <xdr:colOff>33618</xdr:colOff>
      <xdr:row>93</xdr:row>
      <xdr:rowOff>145676</xdr:rowOff>
    </xdr:to>
    <xdr:cxnSp macro="">
      <xdr:nvCxnSpPr>
        <xdr:cNvPr id="7" name="Straight Connector 6"/>
        <xdr:cNvCxnSpPr/>
      </xdr:nvCxnSpPr>
      <xdr:spPr bwMode="auto">
        <a:xfrm flipV="1">
          <a:off x="1882589" y="15206382"/>
          <a:ext cx="7485529" cy="1120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8</xdr:col>
      <xdr:colOff>67235</xdr:colOff>
      <xdr:row>104</xdr:row>
      <xdr:rowOff>123264</xdr:rowOff>
    </xdr:from>
    <xdr:ext cx="699166" cy="342786"/>
    <xdr:sp macro="" textlink="">
      <xdr:nvSpPr>
        <xdr:cNvPr id="8" name="TextBox 7"/>
        <xdr:cNvSpPr txBox="1"/>
      </xdr:nvSpPr>
      <xdr:spPr>
        <a:xfrm>
          <a:off x="5165911" y="17156205"/>
          <a:ext cx="69916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600" b="1"/>
            <a:t>38,3%</a:t>
          </a:r>
        </a:p>
      </xdr:txBody>
    </xdr:sp>
    <xdr:clientData/>
  </xdr:oneCellAnchor>
  <xdr:oneCellAnchor>
    <xdr:from>
      <xdr:col>0</xdr:col>
      <xdr:colOff>809111</xdr:colOff>
      <xdr:row>86</xdr:row>
      <xdr:rowOff>153953</xdr:rowOff>
    </xdr:from>
    <xdr:ext cx="374141" cy="763479"/>
    <xdr:sp macro="" textlink="">
      <xdr:nvSpPr>
        <xdr:cNvPr id="9" name="TextBox 8"/>
        <xdr:cNvSpPr txBox="1"/>
      </xdr:nvSpPr>
      <xdr:spPr>
        <a:xfrm rot="16200000">
          <a:off x="614442" y="14322357"/>
          <a:ext cx="76347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="1"/>
            <a:t>25,0%</a:t>
          </a:r>
        </a:p>
      </xdr:txBody>
    </xdr:sp>
    <xdr:clientData/>
  </xdr:oneCellAnchor>
  <xdr:oneCellAnchor>
    <xdr:from>
      <xdr:col>2</xdr:col>
      <xdr:colOff>504264</xdr:colOff>
      <xdr:row>91</xdr:row>
      <xdr:rowOff>112058</xdr:rowOff>
    </xdr:from>
    <xdr:ext cx="555345" cy="342786"/>
    <xdr:sp macro="" textlink="">
      <xdr:nvSpPr>
        <xdr:cNvPr id="5" name="TextBox 4"/>
        <xdr:cNvSpPr txBox="1"/>
      </xdr:nvSpPr>
      <xdr:spPr>
        <a:xfrm>
          <a:off x="1972235" y="14870205"/>
          <a:ext cx="55534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600" b="1">
              <a:solidFill>
                <a:srgbClr val="FF0000"/>
              </a:solidFill>
            </a:rPr>
            <a:t>Acid</a:t>
          </a:r>
        </a:p>
      </xdr:txBody>
    </xdr:sp>
    <xdr:clientData/>
  </xdr:oneCellAnchor>
  <xdr:oneCellAnchor>
    <xdr:from>
      <xdr:col>13</xdr:col>
      <xdr:colOff>410202</xdr:colOff>
      <xdr:row>91</xdr:row>
      <xdr:rowOff>107574</xdr:rowOff>
    </xdr:from>
    <xdr:ext cx="873381" cy="342786"/>
    <xdr:sp macro="" textlink="">
      <xdr:nvSpPr>
        <xdr:cNvPr id="13" name="TextBox 12"/>
        <xdr:cNvSpPr txBox="1"/>
      </xdr:nvSpPr>
      <xdr:spPr>
        <a:xfrm>
          <a:off x="8534467" y="14865721"/>
          <a:ext cx="87338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600" b="1">
              <a:solidFill>
                <a:srgbClr val="FF0000"/>
              </a:solidFill>
            </a:rPr>
            <a:t>Alkaline</a:t>
          </a:r>
        </a:p>
      </xdr:txBody>
    </xdr:sp>
    <xdr:clientData/>
  </xdr:oneCellAnchor>
  <xdr:oneCellAnchor>
    <xdr:from>
      <xdr:col>8</xdr:col>
      <xdr:colOff>149551</xdr:colOff>
      <xdr:row>76</xdr:row>
      <xdr:rowOff>22411</xdr:rowOff>
    </xdr:from>
    <xdr:ext cx="841321" cy="342786"/>
    <xdr:sp macro="" textlink="">
      <xdr:nvSpPr>
        <xdr:cNvPr id="14" name="TextBox 13"/>
        <xdr:cNvSpPr txBox="1"/>
      </xdr:nvSpPr>
      <xdr:spPr>
        <a:xfrm>
          <a:off x="5248227" y="12427323"/>
          <a:ext cx="84132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600" b="1">
              <a:solidFill>
                <a:srgbClr val="FF0000"/>
              </a:solidFill>
            </a:rPr>
            <a:t>Organic</a:t>
          </a:r>
        </a:p>
      </xdr:txBody>
    </xdr:sp>
    <xdr:clientData/>
  </xdr:oneCellAnchor>
  <xdr:oneCellAnchor>
    <xdr:from>
      <xdr:col>6</xdr:col>
      <xdr:colOff>335568</xdr:colOff>
      <xdr:row>100</xdr:row>
      <xdr:rowOff>62753</xdr:rowOff>
    </xdr:from>
    <xdr:ext cx="977640" cy="342786"/>
    <xdr:sp macro="" textlink="">
      <xdr:nvSpPr>
        <xdr:cNvPr id="15" name="TextBox 14"/>
        <xdr:cNvSpPr txBox="1"/>
      </xdr:nvSpPr>
      <xdr:spPr>
        <a:xfrm>
          <a:off x="4224009" y="16333694"/>
          <a:ext cx="97764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600" b="1">
              <a:solidFill>
                <a:srgbClr val="FF0000"/>
              </a:solidFill>
            </a:rPr>
            <a:t>Inorganic</a:t>
          </a:r>
        </a:p>
      </xdr:txBody>
    </xdr:sp>
    <xdr:clientData/>
  </xdr:oneCellAnchor>
  <xdr:twoCellAnchor>
    <xdr:from>
      <xdr:col>1</xdr:col>
      <xdr:colOff>0</xdr:colOff>
      <xdr:row>107</xdr:row>
      <xdr:rowOff>33617</xdr:rowOff>
    </xdr:from>
    <xdr:to>
      <xdr:col>15</xdr:col>
      <xdr:colOff>438265</xdr:colOff>
      <xdr:row>140</xdr:row>
      <xdr:rowOff>33617</xdr:rowOff>
    </xdr:to>
    <xdr:grpSp>
      <xdr:nvGrpSpPr>
        <xdr:cNvPr id="2" name="Group 1"/>
        <xdr:cNvGrpSpPr/>
      </xdr:nvGrpSpPr>
      <xdr:grpSpPr>
        <a:xfrm>
          <a:off x="862853" y="17638058"/>
          <a:ext cx="8909912" cy="5983941"/>
          <a:chOff x="862853" y="17604440"/>
          <a:chExt cx="8909912" cy="5983941"/>
        </a:xfrm>
      </xdr:grpSpPr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2853" y="17604440"/>
            <a:ext cx="8909912" cy="598394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Oval 5"/>
          <xdr:cNvSpPr/>
        </xdr:nvSpPr>
        <xdr:spPr bwMode="auto">
          <a:xfrm>
            <a:off x="1703294" y="19330147"/>
            <a:ext cx="2980765" cy="1378324"/>
          </a:xfrm>
          <a:prstGeom prst="ellipse">
            <a:avLst/>
          </a:prstGeom>
          <a:noFill/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nb-NO" sz="1100"/>
          </a:p>
        </xdr:txBody>
      </xdr:sp>
      <xdr:sp macro="" textlink="">
        <xdr:nvSpPr>
          <xdr:cNvPr id="17" name="Oval 16"/>
          <xdr:cNvSpPr/>
        </xdr:nvSpPr>
        <xdr:spPr bwMode="auto">
          <a:xfrm>
            <a:off x="3765177" y="21100676"/>
            <a:ext cx="1949824" cy="1519519"/>
          </a:xfrm>
          <a:prstGeom prst="ellipse">
            <a:avLst/>
          </a:prstGeom>
          <a:noFill/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nb-NO" sz="1100"/>
          </a:p>
        </xdr:txBody>
      </xdr:sp>
      <xdr:sp macro="" textlink="">
        <xdr:nvSpPr>
          <xdr:cNvPr id="18" name="Oval 17"/>
          <xdr:cNvSpPr/>
        </xdr:nvSpPr>
        <xdr:spPr bwMode="auto">
          <a:xfrm>
            <a:off x="6286501" y="18467293"/>
            <a:ext cx="2980765" cy="2991971"/>
          </a:xfrm>
          <a:prstGeom prst="ellipse">
            <a:avLst/>
          </a:prstGeom>
          <a:noFill/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nb-NO" sz="1100"/>
          </a:p>
        </xdr:txBody>
      </xdr:sp>
      <xdr:sp macro="" textlink="">
        <xdr:nvSpPr>
          <xdr:cNvPr id="19" name="Oval 18"/>
          <xdr:cNvSpPr/>
        </xdr:nvSpPr>
        <xdr:spPr bwMode="auto">
          <a:xfrm>
            <a:off x="6533029" y="21459265"/>
            <a:ext cx="1154206" cy="1098177"/>
          </a:xfrm>
          <a:prstGeom prst="ellipse">
            <a:avLst/>
          </a:prstGeom>
          <a:noFill/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nb-NO" sz="110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2633382" y="19061206"/>
            <a:ext cx="989053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b-NO" sz="1400" b="1">
                <a:solidFill>
                  <a:srgbClr val="FF0000"/>
                </a:solidFill>
              </a:rPr>
              <a:t>Dystrophic</a:t>
            </a:r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3088357" y="22384887"/>
            <a:ext cx="999889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b-NO" sz="1400" b="1">
                <a:solidFill>
                  <a:srgbClr val="FF0000"/>
                </a:solidFill>
              </a:rPr>
              <a:t>Soft dilute </a:t>
            </a:r>
          </a:p>
        </xdr:txBody>
      </xdr:sp>
      <xdr:sp macro="" textlink="">
        <xdr:nvSpPr>
          <xdr:cNvPr id="22" name="TextBox 21"/>
          <xdr:cNvSpPr txBox="1"/>
        </xdr:nvSpPr>
        <xdr:spPr>
          <a:xfrm>
            <a:off x="7711904" y="22133876"/>
            <a:ext cx="1169807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b-NO" sz="1400" b="1">
                <a:solidFill>
                  <a:srgbClr val="FF0000"/>
                </a:solidFill>
              </a:rPr>
              <a:t>Hard alkaline</a:t>
            </a:r>
          </a:p>
        </xdr:txBody>
      </xdr:sp>
      <xdr:sp macro="" textlink="">
        <xdr:nvSpPr>
          <xdr:cNvPr id="23" name="TextBox 22"/>
          <xdr:cNvSpPr txBox="1"/>
        </xdr:nvSpPr>
        <xdr:spPr>
          <a:xfrm>
            <a:off x="8505265" y="18388852"/>
            <a:ext cx="903196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b-NO" sz="1400" b="1">
                <a:solidFill>
                  <a:srgbClr val="FF0000"/>
                </a:solidFill>
              </a:rPr>
              <a:t>Eutrophic</a:t>
            </a:r>
          </a:p>
        </xdr:txBody>
      </xdr:sp>
    </xdr:grpSp>
    <xdr:clientData/>
  </xdr:twoCellAnchor>
  <xdr:twoCellAnchor editAs="oneCell">
    <xdr:from>
      <xdr:col>15</xdr:col>
      <xdr:colOff>605117</xdr:colOff>
      <xdr:row>72</xdr:row>
      <xdr:rowOff>0</xdr:rowOff>
    </xdr:from>
    <xdr:to>
      <xdr:col>30</xdr:col>
      <xdr:colOff>338405</xdr:colOff>
      <xdr:row>106</xdr:row>
      <xdr:rowOff>100853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17" y="11777382"/>
          <a:ext cx="8810053" cy="573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515471</xdr:colOff>
      <xdr:row>102</xdr:row>
      <xdr:rowOff>123265</xdr:rowOff>
    </xdr:from>
    <xdr:ext cx="726289" cy="311496"/>
    <xdr:sp macro="" textlink="">
      <xdr:nvSpPr>
        <xdr:cNvPr id="25" name="TextBox 24"/>
        <xdr:cNvSpPr txBox="1"/>
      </xdr:nvSpPr>
      <xdr:spPr>
        <a:xfrm>
          <a:off x="11665324" y="16775206"/>
          <a:ext cx="72628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DNOM</a:t>
          </a:r>
          <a:r>
            <a:rPr lang="nb-NO" sz="1100"/>
            <a:t> </a:t>
          </a:r>
        </a:p>
      </xdr:txBody>
    </xdr:sp>
    <xdr:clientData/>
  </xdr:oneCellAnchor>
  <xdr:oneCellAnchor>
    <xdr:from>
      <xdr:col>22</xdr:col>
      <xdr:colOff>17948</xdr:colOff>
      <xdr:row>102</xdr:row>
      <xdr:rowOff>118781</xdr:rowOff>
    </xdr:from>
    <xdr:ext cx="890115" cy="311496"/>
    <xdr:sp macro="" textlink="">
      <xdr:nvSpPr>
        <xdr:cNvPr id="26" name="TextBox 25"/>
        <xdr:cNvSpPr txBox="1"/>
      </xdr:nvSpPr>
      <xdr:spPr>
        <a:xfrm>
          <a:off x="13588272" y="16770722"/>
          <a:ext cx="8901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Nutrients</a:t>
          </a:r>
          <a:endParaRPr lang="nb-NO" sz="1100"/>
        </a:p>
      </xdr:txBody>
    </xdr:sp>
    <xdr:clientData/>
  </xdr:oneCellAnchor>
  <xdr:oneCellAnchor>
    <xdr:from>
      <xdr:col>24</xdr:col>
      <xdr:colOff>416893</xdr:colOff>
      <xdr:row>102</xdr:row>
      <xdr:rowOff>125503</xdr:rowOff>
    </xdr:from>
    <xdr:ext cx="1034257" cy="311496"/>
    <xdr:sp macro="" textlink="">
      <xdr:nvSpPr>
        <xdr:cNvPr id="27" name="TextBox 26"/>
        <xdr:cNvSpPr txBox="1"/>
      </xdr:nvSpPr>
      <xdr:spPr>
        <a:xfrm>
          <a:off x="15197452" y="16777444"/>
          <a:ext cx="10342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Carbonates</a:t>
          </a:r>
          <a:endParaRPr lang="nb-NO" sz="1100"/>
        </a:p>
      </xdr:txBody>
    </xdr:sp>
    <xdr:clientData/>
  </xdr:oneCellAnchor>
  <xdr:oneCellAnchor>
    <xdr:from>
      <xdr:col>26</xdr:col>
      <xdr:colOff>188302</xdr:colOff>
      <xdr:row>102</xdr:row>
      <xdr:rowOff>132225</xdr:rowOff>
    </xdr:from>
    <xdr:ext cx="1015021" cy="311496"/>
    <xdr:sp macro="" textlink="">
      <xdr:nvSpPr>
        <xdr:cNvPr id="28" name="TextBox 27"/>
        <xdr:cNvSpPr txBox="1"/>
      </xdr:nvSpPr>
      <xdr:spPr>
        <a:xfrm>
          <a:off x="16179096" y="16784166"/>
          <a:ext cx="101502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Agriculture</a:t>
          </a:r>
          <a:endParaRPr lang="nb-NO" sz="1100"/>
        </a:p>
      </xdr:txBody>
    </xdr:sp>
    <xdr:clientData/>
  </xdr:oneCellAnchor>
  <xdr:oneCellAnchor>
    <xdr:from>
      <xdr:col>28</xdr:col>
      <xdr:colOff>4535</xdr:colOff>
      <xdr:row>102</xdr:row>
      <xdr:rowOff>127741</xdr:rowOff>
    </xdr:from>
    <xdr:ext cx="786754" cy="311496"/>
    <xdr:sp macro="" textlink="">
      <xdr:nvSpPr>
        <xdr:cNvPr id="29" name="TextBox 28"/>
        <xdr:cNvSpPr txBox="1"/>
      </xdr:nvSpPr>
      <xdr:spPr>
        <a:xfrm>
          <a:off x="17205564" y="16779682"/>
          <a:ext cx="78675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Seasalts</a:t>
          </a:r>
          <a:endParaRPr lang="nb-NO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53</xdr:row>
      <xdr:rowOff>19878</xdr:rowOff>
    </xdr:from>
    <xdr:to>
      <xdr:col>8</xdr:col>
      <xdr:colOff>575642</xdr:colOff>
      <xdr:row>67</xdr:row>
      <xdr:rowOff>96078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54</xdr:row>
      <xdr:rowOff>74543</xdr:rowOff>
    </xdr:from>
    <xdr:ext cx="541495" cy="264560"/>
    <xdr:sp macro="" textlink="">
      <xdr:nvSpPr>
        <xdr:cNvPr id="3" name="TextBox 2"/>
        <xdr:cNvSpPr txBox="1"/>
      </xdr:nvSpPr>
      <xdr:spPr>
        <a:xfrm>
          <a:off x="6896100" y="8227943"/>
          <a:ext cx="541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Eutrof</a:t>
          </a:r>
        </a:p>
      </xdr:txBody>
    </xdr:sp>
    <xdr:clientData/>
  </xdr:oneCellAnchor>
  <xdr:oneCellAnchor>
    <xdr:from>
      <xdr:col>7</xdr:col>
      <xdr:colOff>82804</xdr:colOff>
      <xdr:row>53</xdr:row>
      <xdr:rowOff>107667</xdr:rowOff>
    </xdr:from>
    <xdr:ext cx="931537" cy="264560"/>
    <xdr:sp macro="" textlink="">
      <xdr:nvSpPr>
        <xdr:cNvPr id="4" name="TextBox 3"/>
        <xdr:cNvSpPr txBox="1"/>
      </xdr:nvSpPr>
      <xdr:spPr>
        <a:xfrm>
          <a:off x="6978904" y="8070567"/>
          <a:ext cx="9315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Nesøytjernet</a:t>
          </a:r>
        </a:p>
      </xdr:txBody>
    </xdr:sp>
    <xdr:clientData/>
  </xdr:oneCellAnchor>
  <xdr:oneCellAnchor>
    <xdr:from>
      <xdr:col>7</xdr:col>
      <xdr:colOff>0</xdr:colOff>
      <xdr:row>61</xdr:row>
      <xdr:rowOff>115960</xdr:rowOff>
    </xdr:from>
    <xdr:ext cx="604333" cy="264560"/>
    <xdr:sp macro="" textlink="">
      <xdr:nvSpPr>
        <xdr:cNvPr id="5" name="TextBox 4"/>
        <xdr:cNvSpPr txBox="1"/>
      </xdr:nvSpPr>
      <xdr:spPr>
        <a:xfrm>
          <a:off x="6896100" y="9602860"/>
          <a:ext cx="6043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Dystrof</a:t>
          </a:r>
        </a:p>
      </xdr:txBody>
    </xdr:sp>
    <xdr:clientData/>
  </xdr:oneCellAnchor>
  <xdr:twoCellAnchor>
    <xdr:from>
      <xdr:col>3</xdr:col>
      <xdr:colOff>1295400</xdr:colOff>
      <xdr:row>68</xdr:row>
      <xdr:rowOff>16565</xdr:rowOff>
    </xdr:from>
    <xdr:to>
      <xdr:col>8</xdr:col>
      <xdr:colOff>604631</xdr:colOff>
      <xdr:row>82</xdr:row>
      <xdr:rowOff>92765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724728</xdr:colOff>
      <xdr:row>53</xdr:row>
      <xdr:rowOff>53007</xdr:rowOff>
    </xdr:from>
    <xdr:to>
      <xdr:col>13</xdr:col>
      <xdr:colOff>0</xdr:colOff>
      <xdr:row>67</xdr:row>
      <xdr:rowOff>129207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731354</xdr:colOff>
      <xdr:row>68</xdr:row>
      <xdr:rowOff>78685</xdr:rowOff>
    </xdr:from>
    <xdr:to>
      <xdr:col>13</xdr:col>
      <xdr:colOff>0</xdr:colOff>
      <xdr:row>82</xdr:row>
      <xdr:rowOff>154885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161509</xdr:colOff>
      <xdr:row>53</xdr:row>
      <xdr:rowOff>69573</xdr:rowOff>
    </xdr:from>
    <xdr:to>
      <xdr:col>17</xdr:col>
      <xdr:colOff>153227</xdr:colOff>
      <xdr:row>67</xdr:row>
      <xdr:rowOff>145773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115957</xdr:colOff>
      <xdr:row>68</xdr:row>
      <xdr:rowOff>66261</xdr:rowOff>
    </xdr:from>
    <xdr:to>
      <xdr:col>17</xdr:col>
      <xdr:colOff>107675</xdr:colOff>
      <xdr:row>82</xdr:row>
      <xdr:rowOff>142461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273326</xdr:colOff>
      <xdr:row>53</xdr:row>
      <xdr:rowOff>91109</xdr:rowOff>
    </xdr:from>
    <xdr:to>
      <xdr:col>21</xdr:col>
      <xdr:colOff>472108</xdr:colOff>
      <xdr:row>67</xdr:row>
      <xdr:rowOff>167309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295275</xdr:colOff>
      <xdr:row>49</xdr:row>
      <xdr:rowOff>0</xdr:rowOff>
    </xdr:from>
    <xdr:to>
      <xdr:col>50</xdr:col>
      <xdr:colOff>962025</xdr:colOff>
      <xdr:row>63</xdr:row>
      <xdr:rowOff>66675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0.37131</cdr:x>
      <cdr:y>0.02944</cdr:y>
    </cdr:from>
    <cdr:to>
      <cdr:x>0.57131</cdr:x>
      <cdr:y>0.15021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95471" y="80766"/>
          <a:ext cx="913240" cy="331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Algae in Årungen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0.09239</cdr:y>
    </cdr:from>
    <cdr:to>
      <cdr:x>0.40018</cdr:x>
      <cdr:y>0.42572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5230" y="2534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carbonate minerals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0.09239</cdr:y>
    </cdr:from>
    <cdr:to>
      <cdr:x>0.40018</cdr:x>
      <cdr:y>0.42572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5230" y="2534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feldspar minerals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</cdr:x>
      <cdr:y>0.54096</cdr:y>
    </cdr:from>
    <cdr:to>
      <cdr:x>1</cdr:x>
      <cdr:y>0.70249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73191" y="1483951"/>
          <a:ext cx="918297" cy="443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Very high values </a:t>
          </a:r>
          <a:br>
            <a:rPr lang="en-GB" sz="1100"/>
          </a:br>
          <a:r>
            <a:rPr lang="en-GB" sz="1100"/>
            <a:t>in Akerelva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13</xdr:col>
      <xdr:colOff>133350</xdr:colOff>
      <xdr:row>107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8058150" cy="537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95250</xdr:colOff>
      <xdr:row>77</xdr:row>
      <xdr:rowOff>152400</xdr:rowOff>
    </xdr:from>
    <xdr:to>
      <xdr:col>5</xdr:col>
      <xdr:colOff>133350</xdr:colOff>
      <xdr:row>102</xdr:row>
      <xdr:rowOff>66675</xdr:rowOff>
    </xdr:to>
    <xdr:cxnSp macro="">
      <xdr:nvCxnSpPr>
        <xdr:cNvPr id="4" name="Straight Connector 3"/>
        <xdr:cNvCxnSpPr/>
      </xdr:nvCxnSpPr>
      <xdr:spPr bwMode="auto">
        <a:xfrm flipH="1" flipV="1">
          <a:off x="3143250" y="12649200"/>
          <a:ext cx="38100" cy="3962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266700</xdr:colOff>
      <xdr:row>95</xdr:row>
      <xdr:rowOff>114300</xdr:rowOff>
    </xdr:from>
    <xdr:to>
      <xdr:col>12</xdr:col>
      <xdr:colOff>361950</xdr:colOff>
      <xdr:row>96</xdr:row>
      <xdr:rowOff>28575</xdr:rowOff>
    </xdr:to>
    <xdr:cxnSp macro="">
      <xdr:nvCxnSpPr>
        <xdr:cNvPr id="6" name="Straight Connector 5"/>
        <xdr:cNvCxnSpPr/>
      </xdr:nvCxnSpPr>
      <xdr:spPr bwMode="auto">
        <a:xfrm flipV="1">
          <a:off x="876300" y="15525750"/>
          <a:ext cx="6800850" cy="762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14</xdr:col>
      <xdr:colOff>0</xdr:colOff>
      <xdr:row>73</xdr:row>
      <xdr:rowOff>161924</xdr:rowOff>
    </xdr:from>
    <xdr:to>
      <xdr:col>27</xdr:col>
      <xdr:colOff>147638</xdr:colOff>
      <xdr:row>107</xdr:row>
      <xdr:rowOff>38099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2011024"/>
          <a:ext cx="8072438" cy="538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238125</xdr:colOff>
      <xdr:row>105</xdr:row>
      <xdr:rowOff>66675</xdr:rowOff>
    </xdr:from>
    <xdr:ext cx="535211" cy="264560"/>
    <xdr:sp macro="" textlink="">
      <xdr:nvSpPr>
        <xdr:cNvPr id="8" name="TextBox 7"/>
        <xdr:cNvSpPr txBox="1"/>
      </xdr:nvSpPr>
      <xdr:spPr>
        <a:xfrm>
          <a:off x="3895725" y="17097375"/>
          <a:ext cx="5352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48,7%</a:t>
          </a:r>
        </a:p>
      </xdr:txBody>
    </xdr:sp>
    <xdr:clientData/>
  </xdr:oneCellAnchor>
  <xdr:oneCellAnchor>
    <xdr:from>
      <xdr:col>0</xdr:col>
      <xdr:colOff>21026</xdr:colOff>
      <xdr:row>88</xdr:row>
      <xdr:rowOff>121849</xdr:rowOff>
    </xdr:from>
    <xdr:ext cx="264560" cy="535211"/>
    <xdr:sp macro="" textlink="">
      <xdr:nvSpPr>
        <xdr:cNvPr id="9" name="TextBox 8"/>
        <xdr:cNvSpPr txBox="1"/>
      </xdr:nvSpPr>
      <xdr:spPr>
        <a:xfrm rot="16200000">
          <a:off x="-114300" y="14535150"/>
          <a:ext cx="5352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13,8%</a:t>
          </a:r>
        </a:p>
      </xdr:txBody>
    </xdr:sp>
    <xdr:clientData/>
  </xdr:oneCellAnchor>
  <xdr:twoCellAnchor editAs="oneCell">
    <xdr:from>
      <xdr:col>14</xdr:col>
      <xdr:colOff>0</xdr:colOff>
      <xdr:row>108</xdr:row>
      <xdr:rowOff>0</xdr:rowOff>
    </xdr:from>
    <xdr:to>
      <xdr:col>26</xdr:col>
      <xdr:colOff>438150</xdr:colOff>
      <xdr:row>139</xdr:row>
      <xdr:rowOff>149225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7516475"/>
          <a:ext cx="7753350" cy="516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161924</xdr:rowOff>
    </xdr:from>
    <xdr:to>
      <xdr:col>12</xdr:col>
      <xdr:colOff>314324</xdr:colOff>
      <xdr:row>91</xdr:row>
      <xdr:rowOff>133349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49"/>
          <a:ext cx="7629524" cy="612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295275</xdr:colOff>
      <xdr:row>72</xdr:row>
      <xdr:rowOff>76200</xdr:rowOff>
    </xdr:from>
    <xdr:to>
      <xdr:col>11</xdr:col>
      <xdr:colOff>542925</xdr:colOff>
      <xdr:row>72</xdr:row>
      <xdr:rowOff>85725</xdr:rowOff>
    </xdr:to>
    <xdr:cxnSp macro="">
      <xdr:nvCxnSpPr>
        <xdr:cNvPr id="4" name="Straight Connector 3"/>
        <xdr:cNvCxnSpPr/>
      </xdr:nvCxnSpPr>
      <xdr:spPr bwMode="auto">
        <a:xfrm flipV="1">
          <a:off x="904875" y="11734800"/>
          <a:ext cx="6343650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142875</xdr:colOff>
      <xdr:row>58</xdr:row>
      <xdr:rowOff>104775</xdr:rowOff>
    </xdr:from>
    <xdr:to>
      <xdr:col>5</xdr:col>
      <xdr:colOff>142875</xdr:colOff>
      <xdr:row>86</xdr:row>
      <xdr:rowOff>66675</xdr:rowOff>
    </xdr:to>
    <xdr:cxnSp macro="">
      <xdr:nvCxnSpPr>
        <xdr:cNvPr id="5" name="Straight Connector 4"/>
        <xdr:cNvCxnSpPr/>
      </xdr:nvCxnSpPr>
      <xdr:spPr bwMode="auto">
        <a:xfrm>
          <a:off x="3190875" y="9496425"/>
          <a:ext cx="0" cy="44958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7</xdr:col>
      <xdr:colOff>552450</xdr:colOff>
      <xdr:row>88</xdr:row>
      <xdr:rowOff>57150</xdr:rowOff>
    </xdr:from>
    <xdr:ext cx="535211" cy="264560"/>
    <xdr:sp macro="" textlink="">
      <xdr:nvSpPr>
        <xdr:cNvPr id="8" name="TextBox 7"/>
        <xdr:cNvSpPr txBox="1"/>
      </xdr:nvSpPr>
      <xdr:spPr>
        <a:xfrm>
          <a:off x="4819650" y="14306550"/>
          <a:ext cx="5352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50,6%</a:t>
          </a:r>
        </a:p>
      </xdr:txBody>
    </xdr:sp>
    <xdr:clientData/>
  </xdr:oneCellAnchor>
  <xdr:oneCellAnchor>
    <xdr:from>
      <xdr:col>0</xdr:col>
      <xdr:colOff>9525</xdr:colOff>
      <xdr:row>62</xdr:row>
      <xdr:rowOff>152400</xdr:rowOff>
    </xdr:from>
    <xdr:ext cx="535211" cy="264560"/>
    <xdr:sp macro="" textlink="">
      <xdr:nvSpPr>
        <xdr:cNvPr id="9" name="TextBox 8"/>
        <xdr:cNvSpPr txBox="1"/>
      </xdr:nvSpPr>
      <xdr:spPr>
        <a:xfrm>
          <a:off x="9525" y="10191750"/>
          <a:ext cx="5352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14,3%</a:t>
          </a:r>
        </a:p>
      </xdr:txBody>
    </xdr:sp>
    <xdr:clientData/>
  </xdr:oneCellAnchor>
  <xdr:oneCellAnchor>
    <xdr:from>
      <xdr:col>1</xdr:col>
      <xdr:colOff>600075</xdr:colOff>
      <xdr:row>70</xdr:row>
      <xdr:rowOff>114300</xdr:rowOff>
    </xdr:from>
    <xdr:ext cx="1278042" cy="264560"/>
    <xdr:sp macro="" textlink="">
      <xdr:nvSpPr>
        <xdr:cNvPr id="10" name="TextBox 9"/>
        <xdr:cNvSpPr txBox="1"/>
      </xdr:nvSpPr>
      <xdr:spPr>
        <a:xfrm>
          <a:off x="1209675" y="11449050"/>
          <a:ext cx="12780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Evapotranspiration</a:t>
          </a:r>
        </a:p>
      </xdr:txBody>
    </xdr:sp>
    <xdr:clientData/>
  </xdr:oneCellAnchor>
  <xdr:oneCellAnchor>
    <xdr:from>
      <xdr:col>5</xdr:col>
      <xdr:colOff>194445</xdr:colOff>
      <xdr:row>79</xdr:row>
      <xdr:rowOff>91305</xdr:rowOff>
    </xdr:from>
    <xdr:ext cx="264560" cy="1034450"/>
    <xdr:sp macro="" textlink="">
      <xdr:nvSpPr>
        <xdr:cNvPr id="11" name="TextBox 10"/>
        <xdr:cNvSpPr txBox="1"/>
      </xdr:nvSpPr>
      <xdr:spPr>
        <a:xfrm rot="16200000">
          <a:off x="2857500" y="13268325"/>
          <a:ext cx="1034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Eutrophication</a:t>
          </a:r>
        </a:p>
      </xdr:txBody>
    </xdr:sp>
    <xdr:clientData/>
  </xdr:oneCellAnchor>
  <xdr:twoCellAnchor editAs="oneCell">
    <xdr:from>
      <xdr:col>12</xdr:col>
      <xdr:colOff>152399</xdr:colOff>
      <xdr:row>54</xdr:row>
      <xdr:rowOff>0</xdr:rowOff>
    </xdr:from>
    <xdr:to>
      <xdr:col>27</xdr:col>
      <xdr:colOff>180974</xdr:colOff>
      <xdr:row>91</xdr:row>
      <xdr:rowOff>123825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599" y="8743950"/>
          <a:ext cx="9172575" cy="611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609599</xdr:colOff>
      <xdr:row>91</xdr:row>
      <xdr:rowOff>161924</xdr:rowOff>
    </xdr:from>
    <xdr:to>
      <xdr:col>14</xdr:col>
      <xdr:colOff>428624</xdr:colOff>
      <xdr:row>127</xdr:row>
      <xdr:rowOff>57149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199" y="14897099"/>
          <a:ext cx="7743825" cy="572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39</xdr:row>
      <xdr:rowOff>1</xdr:rowOff>
    </xdr:from>
    <xdr:to>
      <xdr:col>14</xdr:col>
      <xdr:colOff>533400</xdr:colOff>
      <xdr:row>76</xdr:row>
      <xdr:rowOff>41276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315076"/>
          <a:ext cx="9048750" cy="603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38</xdr:row>
      <xdr:rowOff>161924</xdr:rowOff>
    </xdr:from>
    <xdr:to>
      <xdr:col>32</xdr:col>
      <xdr:colOff>509588</xdr:colOff>
      <xdr:row>83</xdr:row>
      <xdr:rowOff>123824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6315074"/>
          <a:ext cx="10872788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161924</xdr:rowOff>
    </xdr:from>
    <xdr:to>
      <xdr:col>16</xdr:col>
      <xdr:colOff>404812</xdr:colOff>
      <xdr:row>131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63624"/>
          <a:ext cx="10158412" cy="744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51</xdr:row>
      <xdr:rowOff>95250</xdr:rowOff>
    </xdr:from>
    <xdr:to>
      <xdr:col>14</xdr:col>
      <xdr:colOff>85725</xdr:colOff>
      <xdr:row>51</xdr:row>
      <xdr:rowOff>104775</xdr:rowOff>
    </xdr:to>
    <xdr:cxnSp macro="">
      <xdr:nvCxnSpPr>
        <xdr:cNvPr id="6" name="Straight Connector 5"/>
        <xdr:cNvCxnSpPr/>
      </xdr:nvCxnSpPr>
      <xdr:spPr bwMode="auto">
        <a:xfrm>
          <a:off x="1009650" y="8353425"/>
          <a:ext cx="76104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571500</xdr:colOff>
      <xdr:row>43</xdr:row>
      <xdr:rowOff>123825</xdr:rowOff>
    </xdr:from>
    <xdr:to>
      <xdr:col>6</xdr:col>
      <xdr:colOff>600075</xdr:colOff>
      <xdr:row>71</xdr:row>
      <xdr:rowOff>0</xdr:rowOff>
    </xdr:to>
    <xdr:cxnSp macro="">
      <xdr:nvCxnSpPr>
        <xdr:cNvPr id="8" name="Straight Connector 7"/>
        <xdr:cNvCxnSpPr/>
      </xdr:nvCxnSpPr>
      <xdr:spPr bwMode="auto">
        <a:xfrm>
          <a:off x="4229100" y="7086600"/>
          <a:ext cx="28575" cy="44100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0.09239</cdr:y>
    </cdr:from>
    <cdr:to>
      <cdr:x>0.40018</cdr:x>
      <cdr:y>0.42572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5230" y="2534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carbonate minerals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0.03112</cdr:y>
    </cdr:from>
    <cdr:to>
      <cdr:x>0.40018</cdr:x>
      <cdr:y>0.36445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1322" y="85356"/>
          <a:ext cx="910502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feldspar minerals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0.17125</cdr:x>
      <cdr:y>0.10568</cdr:y>
    </cdr:from>
    <cdr:to>
      <cdr:x>0.76541</cdr:x>
      <cdr:y>0.2943</cdr:y>
    </cdr:to>
    <cdr:sp macro="" textlink="">
      <cdr:nvSpPr>
        <cdr:cNvPr id="2" name="TextBox 8"/>
        <cdr:cNvSpPr txBox="1"/>
      </cdr:nvSpPr>
      <cdr:spPr>
        <a:xfrm xmlns:a="http://schemas.openxmlformats.org/drawingml/2006/main">
          <a:off x="781611" y="244715"/>
          <a:ext cx="2711823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High Mn2+</a:t>
          </a:r>
          <a:r>
            <a:rPr lang="nb-NO" sz="1100" baseline="0"/>
            <a:t> indicating </a:t>
          </a:r>
        </a:p>
        <a:p xmlns:a="http://schemas.openxmlformats.org/drawingml/2006/main">
          <a:r>
            <a:rPr lang="nb-NO" sz="1100" baseline="0"/>
            <a:t>previous reducing conditions</a:t>
          </a:r>
          <a:endParaRPr lang="nb-NO" sz="1100"/>
        </a:p>
      </cdr:txBody>
    </cdr:sp>
  </cdr:relSizeAnchor>
  <cdr:relSizeAnchor xmlns:cdr="http://schemas.openxmlformats.org/drawingml/2006/chartDrawing">
    <cdr:from>
      <cdr:x>0.71086</cdr:x>
      <cdr:y>0.02059</cdr:y>
    </cdr:from>
    <cdr:to>
      <cdr:x>0.94311</cdr:x>
      <cdr:y>0.16947</cdr:y>
    </cdr:to>
    <cdr:sp macro="" textlink="">
      <cdr:nvSpPr>
        <cdr:cNvPr id="3" name="TextBox 8"/>
        <cdr:cNvSpPr txBox="1"/>
      </cdr:nvSpPr>
      <cdr:spPr>
        <a:xfrm xmlns:a="http://schemas.openxmlformats.org/drawingml/2006/main">
          <a:off x="3244491" y="47675"/>
          <a:ext cx="1060025" cy="3447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High Mn2+</a:t>
          </a:r>
          <a:r>
            <a:rPr lang="nb-NO" sz="1100" baseline="0"/>
            <a:t> in </a:t>
          </a:r>
        </a:p>
        <a:p xmlns:a="http://schemas.openxmlformats.org/drawingml/2006/main">
          <a:r>
            <a:rPr lang="nb-NO" sz="1100" baseline="0"/>
            <a:t>Eutrophic lakes</a:t>
          </a:r>
          <a:endParaRPr lang="nb-N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0.27967</cdr:x>
      <cdr:y>0.19792</cdr:y>
    </cdr:from>
    <cdr:to>
      <cdr:x>0.41166</cdr:x>
      <cdr:y>0.3123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58422" y="542925"/>
          <a:ext cx="593912" cy="313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Algae</a:t>
          </a:r>
        </a:p>
      </cdr:txBody>
    </cdr:sp>
  </cdr:relSizeAnchor>
  <cdr:relSizeAnchor xmlns:cdr="http://schemas.openxmlformats.org/drawingml/2006/chartDrawing">
    <cdr:from>
      <cdr:x>0.63637</cdr:x>
      <cdr:y>0.04711</cdr:y>
    </cdr:from>
    <cdr:to>
      <cdr:x>0.76836</cdr:x>
      <cdr:y>0.16149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3476" y="129242"/>
          <a:ext cx="593912" cy="313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Algae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0.19268</cdr:x>
      <cdr:y>0.21051</cdr:y>
    </cdr:from>
    <cdr:to>
      <cdr:x>0.39268</cdr:x>
      <cdr:y>0.3799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5268" y="577480"/>
          <a:ext cx="918883" cy="46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Low aromaticity</a:t>
          </a:r>
          <a:r>
            <a:rPr lang="en-GB" sz="1100" baseline="0"/>
            <a:t>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0.20976</cdr:x>
      <cdr:y>0</cdr:y>
    </cdr:from>
    <cdr:to>
      <cdr:x>0.54878</cdr:x>
      <cdr:y>0.1634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3726" y="0"/>
          <a:ext cx="1557598" cy="448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Small molecules </a:t>
          </a:r>
          <a:r>
            <a:rPr lang="en-GB" sz="1100" baseline="0"/>
            <a:t>in </a:t>
          </a:r>
          <a:br>
            <a:rPr lang="en-GB" sz="1100" baseline="0"/>
          </a:br>
          <a:r>
            <a:rPr lang="en-GB" sz="1100" baseline="0"/>
            <a:t>Oligothrophic lakes</a:t>
          </a:r>
          <a:endParaRPr lang="en-GB" sz="1100"/>
        </a:p>
      </cdr:txBody>
    </cdr:sp>
  </cdr:relSizeAnchor>
  <cdr:relSizeAnchor xmlns:cdr="http://schemas.openxmlformats.org/drawingml/2006/chartDrawing">
    <cdr:from>
      <cdr:x>0.71707</cdr:x>
      <cdr:y>0.12064</cdr:y>
    </cdr:from>
    <cdr:to>
      <cdr:x>0.91707</cdr:x>
      <cdr:y>0.29003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94529" y="330937"/>
          <a:ext cx="918883" cy="46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Large molecules </a:t>
          </a:r>
          <a:endParaRPr lang="en-GB" sz="1100" baseline="0"/>
        </a:p>
        <a:p xmlns:a="http://schemas.openxmlformats.org/drawingml/2006/main">
          <a:r>
            <a:rPr lang="en-GB" sz="1100" baseline="0"/>
            <a:t>in dystrophic lakes</a:t>
          </a:r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0.16744</cdr:x>
      <cdr:y>0.06694</cdr:y>
    </cdr:from>
    <cdr:to>
      <cdr:x>0.42328</cdr:x>
      <cdr:y>0.18219</cdr:y>
    </cdr:to>
    <cdr:sp macro="" textlink="">
      <cdr:nvSpPr>
        <cdr:cNvPr id="2" name="TextBox 34"/>
        <cdr:cNvSpPr txBox="1"/>
      </cdr:nvSpPr>
      <cdr:spPr>
        <a:xfrm xmlns:a="http://schemas.openxmlformats.org/drawingml/2006/main">
          <a:off x="868828" y="185271"/>
          <a:ext cx="1327525" cy="31899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Seasalt influence and evapotranspiration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0.48197</cdr:x>
      <cdr:y>0.16466</cdr:y>
    </cdr:from>
    <cdr:to>
      <cdr:x>0.61395</cdr:x>
      <cdr:y>0.29441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68712" y="398182"/>
          <a:ext cx="593912" cy="313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Agriculture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541"/>
  <sheetViews>
    <sheetView tabSelected="1" showWhiteSpace="0" zoomScale="85" zoomScaleNormal="85" zoomScalePageLayoutView="125" workbookViewId="0">
      <pane xSplit="2" topLeftCell="BE1" activePane="topRight" state="frozenSplit"/>
      <selection activeCell="V9" sqref="V9"/>
      <selection pane="topRight" activeCell="CO1" sqref="CO1"/>
    </sheetView>
  </sheetViews>
  <sheetFormatPr defaultColWidth="8.85546875" defaultRowHeight="15" x14ac:dyDescent="0.25"/>
  <cols>
    <col min="1" max="1" width="9.28515625" style="30" customWidth="1"/>
    <col min="2" max="2" width="20.42578125" style="29" customWidth="1"/>
    <col min="3" max="3" width="21.7109375" style="29" customWidth="1"/>
    <col min="4" max="4" width="16.7109375" style="40" customWidth="1"/>
    <col min="5" max="5" width="8" style="33" customWidth="1"/>
    <col min="6" max="6" width="10.28515625" style="42" customWidth="1"/>
    <col min="7" max="7" width="12.7109375" style="5" customWidth="1"/>
    <col min="8" max="8" width="16.140625" style="5" customWidth="1"/>
    <col min="9" max="9" width="8.85546875" style="62" customWidth="1"/>
    <col min="10" max="10" width="15.140625" style="65" customWidth="1"/>
    <col min="11" max="11" width="12" style="68" customWidth="1"/>
    <col min="12" max="12" width="14.42578125" style="71" customWidth="1"/>
    <col min="13" max="13" width="11.42578125" style="57" customWidth="1"/>
    <col min="14" max="15" width="15.85546875" style="57" customWidth="1"/>
    <col min="16" max="16" width="13" style="83" customWidth="1"/>
    <col min="17" max="18" width="13" style="119" customWidth="1"/>
    <col min="19" max="19" width="16.7109375" style="84" bestFit="1" customWidth="1"/>
    <col min="20" max="20" width="22.42578125" style="2" bestFit="1" customWidth="1"/>
    <col min="21" max="21" width="13" style="2" customWidth="1"/>
    <col min="22" max="22" width="16.42578125" style="83" bestFit="1" customWidth="1"/>
    <col min="23" max="23" width="16.42578125" style="84" customWidth="1"/>
    <col min="24" max="25" width="16.42578125" style="2" customWidth="1"/>
    <col min="26" max="27" width="16.42578125" style="2" hidden="1" customWidth="1"/>
    <col min="28" max="28" width="16.42578125" style="94" hidden="1" customWidth="1"/>
    <col min="29" max="29" width="20.140625" style="83" hidden="1" customWidth="1"/>
    <col min="30" max="30" width="14.140625" style="84" customWidth="1"/>
    <col min="31" max="34" width="9" style="2" customWidth="1"/>
    <col min="35" max="35" width="9" style="83" customWidth="1"/>
    <col min="36" max="36" width="9" style="119" customWidth="1"/>
    <col min="37" max="37" width="15.42578125" style="96" bestFit="1" customWidth="1"/>
    <col min="38" max="38" width="16.140625" style="32" bestFit="1" customWidth="1"/>
    <col min="39" max="39" width="8.85546875" style="1" customWidth="1"/>
    <col min="40" max="40" width="16.140625" style="32" customWidth="1"/>
    <col min="41" max="42" width="8.85546875" style="1" customWidth="1"/>
    <col min="43" max="44" width="17.28515625" style="1" bestFit="1" customWidth="1"/>
    <col min="45" max="45" width="17.28515625" style="1" customWidth="1"/>
    <col min="46" max="46" width="8.85546875" style="1"/>
    <col min="47" max="47" width="20.140625" style="1" bestFit="1" customWidth="1"/>
    <col min="48" max="53" width="13" style="1" bestFit="1" customWidth="1"/>
    <col min="54" max="55" width="13" style="4" bestFit="1" customWidth="1"/>
    <col min="56" max="56" width="21.42578125" style="4" bestFit="1" customWidth="1"/>
    <col min="57" max="57" width="14.42578125" style="42" bestFit="1" customWidth="1"/>
    <col min="58" max="59" width="8.85546875" style="53"/>
    <col min="60" max="60" width="13" style="3" bestFit="1" customWidth="1"/>
    <col min="61" max="61" width="8.42578125" style="3" customWidth="1"/>
    <col min="62" max="62" width="8.85546875" style="101" customWidth="1"/>
    <col min="63" max="64" width="8.85546875" style="2" hidden="1" customWidth="1"/>
    <col min="65" max="65" width="8.85546875" style="3" hidden="1" customWidth="1"/>
    <col min="66" max="73" width="8.85546875" style="101" hidden="1" customWidth="1"/>
    <col min="74" max="74" width="8.85546875" style="3" hidden="1" customWidth="1"/>
    <col min="75" max="80" width="8.85546875" style="101" hidden="1" customWidth="1"/>
    <col min="81" max="82" width="9" style="101" hidden="1" customWidth="1"/>
    <col min="83" max="83" width="8.85546875" style="3" hidden="1" customWidth="1"/>
    <col min="84" max="84" width="13" style="105" bestFit="1" customWidth="1"/>
    <col min="85" max="86" width="13" style="106" bestFit="1" customWidth="1"/>
    <col min="87" max="87" width="13" bestFit="1" customWidth="1"/>
    <col min="97" max="97" width="14.42578125" style="1" customWidth="1"/>
    <col min="98" max="104" width="8.85546875" style="1" customWidth="1"/>
    <col min="105" max="105" width="10" style="1" customWidth="1"/>
    <col min="115" max="115" width="8.85546875" customWidth="1"/>
  </cols>
  <sheetData>
    <row r="1" spans="1:115" s="16" customFormat="1" ht="15.75" customHeight="1" x14ac:dyDescent="0.25">
      <c r="A1" s="37"/>
      <c r="B1" s="36"/>
      <c r="C1" s="30" t="s">
        <v>69</v>
      </c>
      <c r="D1" s="38" t="s">
        <v>70</v>
      </c>
      <c r="E1" s="39"/>
      <c r="F1" s="147"/>
      <c r="G1" s="13"/>
      <c r="H1" s="13"/>
      <c r="I1" s="60"/>
      <c r="J1" s="63" t="s">
        <v>71</v>
      </c>
      <c r="K1" s="66"/>
      <c r="L1" s="69"/>
      <c r="M1" s="56" t="s">
        <v>31</v>
      </c>
      <c r="N1" s="322" t="s">
        <v>60</v>
      </c>
      <c r="O1" s="322"/>
      <c r="P1" s="86" t="s">
        <v>28</v>
      </c>
      <c r="Q1" s="130"/>
      <c r="R1" s="130"/>
      <c r="S1" s="324" t="s">
        <v>115</v>
      </c>
      <c r="T1" s="324"/>
      <c r="U1" s="324"/>
      <c r="V1" s="324"/>
      <c r="W1" s="324" t="s">
        <v>122</v>
      </c>
      <c r="X1" s="324"/>
      <c r="Y1" s="324"/>
      <c r="Z1" s="324"/>
      <c r="AA1" s="324"/>
      <c r="AB1" s="324"/>
      <c r="AC1" s="80"/>
      <c r="AD1" s="324" t="s">
        <v>20</v>
      </c>
      <c r="AE1" s="324"/>
      <c r="AF1" s="324"/>
      <c r="AG1" s="324"/>
      <c r="AH1" s="324"/>
      <c r="AI1" s="324"/>
      <c r="AJ1" s="124" t="s">
        <v>128</v>
      </c>
      <c r="AK1" s="95" t="s">
        <v>32</v>
      </c>
      <c r="AL1" s="54" t="s">
        <v>21</v>
      </c>
      <c r="AM1" s="46" t="s">
        <v>20</v>
      </c>
      <c r="AN1" s="54"/>
      <c r="AO1" s="46"/>
      <c r="AP1" s="46"/>
      <c r="AQ1" s="50" t="s">
        <v>4</v>
      </c>
      <c r="AR1" s="50" t="s">
        <v>5</v>
      </c>
      <c r="AS1" s="50"/>
      <c r="AT1" s="8"/>
      <c r="AU1" s="11"/>
      <c r="AV1" s="12"/>
      <c r="AW1" s="12"/>
      <c r="AX1" s="12"/>
      <c r="AY1" s="12"/>
      <c r="AZ1" s="12"/>
      <c r="BA1" s="12"/>
      <c r="BB1" s="12"/>
      <c r="BC1" s="12"/>
      <c r="BD1" s="12"/>
      <c r="BE1" s="9" t="s">
        <v>61</v>
      </c>
      <c r="BF1" s="13"/>
      <c r="BG1" s="13"/>
      <c r="BH1" s="323" t="s">
        <v>62</v>
      </c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S1" s="45"/>
      <c r="CT1" s="46" t="s">
        <v>3</v>
      </c>
      <c r="CU1" s="46"/>
      <c r="CV1" s="46"/>
      <c r="CW1" s="46"/>
      <c r="CX1" s="46"/>
      <c r="CY1" s="46"/>
      <c r="CZ1" s="46"/>
      <c r="DA1" s="49"/>
    </row>
    <row r="2" spans="1:115" s="16" customFormat="1" ht="18" x14ac:dyDescent="0.35">
      <c r="A2" s="30" t="s">
        <v>63</v>
      </c>
      <c r="B2" s="30" t="s">
        <v>64</v>
      </c>
      <c r="C2" s="30" t="s">
        <v>65</v>
      </c>
      <c r="D2" s="38" t="s">
        <v>66</v>
      </c>
      <c r="E2" s="39" t="s">
        <v>67</v>
      </c>
      <c r="F2" s="72" t="s">
        <v>168</v>
      </c>
      <c r="G2" s="72" t="s">
        <v>169</v>
      </c>
      <c r="H2" s="13" t="s">
        <v>143</v>
      </c>
      <c r="I2" s="60"/>
      <c r="J2" s="64" t="s">
        <v>68</v>
      </c>
      <c r="K2" s="67" t="s">
        <v>101</v>
      </c>
      <c r="L2" s="69" t="s">
        <v>35</v>
      </c>
      <c r="M2" s="17" t="s">
        <v>36</v>
      </c>
      <c r="N2" s="17" t="s">
        <v>37</v>
      </c>
      <c r="O2" s="17" t="s">
        <v>126</v>
      </c>
      <c r="P2" s="87" t="s">
        <v>29</v>
      </c>
      <c r="Q2" s="131" t="s">
        <v>130</v>
      </c>
      <c r="R2" s="131" t="s">
        <v>131</v>
      </c>
      <c r="S2" s="79" t="s">
        <v>38</v>
      </c>
      <c r="T2" s="10" t="s">
        <v>39</v>
      </c>
      <c r="U2" s="10" t="s">
        <v>40</v>
      </c>
      <c r="V2" s="80" t="s">
        <v>41</v>
      </c>
      <c r="W2" s="79" t="s">
        <v>1</v>
      </c>
      <c r="X2" s="78" t="s">
        <v>2</v>
      </c>
      <c r="Y2" s="78" t="s">
        <v>114</v>
      </c>
      <c r="Z2" s="78" t="s">
        <v>117</v>
      </c>
      <c r="AA2" s="78" t="s">
        <v>118</v>
      </c>
      <c r="AB2" s="77" t="s">
        <v>119</v>
      </c>
      <c r="AC2" s="80" t="s">
        <v>120</v>
      </c>
      <c r="AD2" s="79" t="s">
        <v>97</v>
      </c>
      <c r="AE2" s="59" t="s">
        <v>98</v>
      </c>
      <c r="AF2" s="255" t="s">
        <v>191</v>
      </c>
      <c r="AG2" s="10" t="s">
        <v>42</v>
      </c>
      <c r="AH2" s="10" t="s">
        <v>72</v>
      </c>
      <c r="AI2" s="80" t="s">
        <v>112</v>
      </c>
      <c r="AJ2" s="125" t="s">
        <v>129</v>
      </c>
      <c r="AK2" s="95" t="s">
        <v>33</v>
      </c>
      <c r="AL2" s="54" t="s">
        <v>34</v>
      </c>
      <c r="AM2" s="54" t="s">
        <v>34</v>
      </c>
      <c r="AN2" s="247" t="s">
        <v>132</v>
      </c>
      <c r="AO2" s="54" t="s">
        <v>113</v>
      </c>
      <c r="AP2" s="54"/>
      <c r="AQ2" s="51" t="s">
        <v>15</v>
      </c>
      <c r="AR2" s="51" t="s">
        <v>16</v>
      </c>
      <c r="AS2" s="127"/>
      <c r="AT2" s="18"/>
      <c r="AU2" s="11" t="s">
        <v>95</v>
      </c>
      <c r="AV2" s="7" t="s">
        <v>38</v>
      </c>
      <c r="AW2" s="7" t="s">
        <v>39</v>
      </c>
      <c r="AX2" s="7" t="s">
        <v>40</v>
      </c>
      <c r="AY2" s="7" t="s">
        <v>41</v>
      </c>
      <c r="AZ2" s="59" t="s">
        <v>97</v>
      </c>
      <c r="BA2" s="58" t="s">
        <v>98</v>
      </c>
      <c r="BB2" s="10" t="s">
        <v>42</v>
      </c>
      <c r="BC2" s="8" t="s">
        <v>72</v>
      </c>
      <c r="BD2" s="8" t="s">
        <v>23</v>
      </c>
      <c r="BE2" s="9" t="s">
        <v>134</v>
      </c>
      <c r="BF2" s="13" t="s">
        <v>133</v>
      </c>
      <c r="BG2" s="13"/>
      <c r="BH2" s="9" t="s">
        <v>96</v>
      </c>
      <c r="BI2" s="14" t="s">
        <v>96</v>
      </c>
      <c r="BJ2" s="98" t="s">
        <v>80</v>
      </c>
      <c r="BK2" s="102" t="s">
        <v>81</v>
      </c>
      <c r="BL2" s="102" t="s">
        <v>81</v>
      </c>
      <c r="BM2" s="4" t="s">
        <v>81</v>
      </c>
      <c r="BN2" s="99" t="s">
        <v>90</v>
      </c>
      <c r="BO2" s="99" t="s">
        <v>91</v>
      </c>
      <c r="BP2" s="99" t="s">
        <v>92</v>
      </c>
      <c r="BQ2" s="99" t="s">
        <v>93</v>
      </c>
      <c r="BR2" s="99" t="s">
        <v>94</v>
      </c>
      <c r="BS2" s="99" t="s">
        <v>43</v>
      </c>
      <c r="BT2" s="99" t="s">
        <v>44</v>
      </c>
      <c r="BU2" s="99" t="s">
        <v>45</v>
      </c>
      <c r="BV2" s="15" t="s">
        <v>46</v>
      </c>
      <c r="BW2" s="103" t="s">
        <v>47</v>
      </c>
      <c r="BX2" s="103" t="s">
        <v>48</v>
      </c>
      <c r="BY2" s="103" t="s">
        <v>49</v>
      </c>
      <c r="BZ2" s="103" t="s">
        <v>50</v>
      </c>
      <c r="CA2" s="103" t="s">
        <v>82</v>
      </c>
      <c r="CB2" s="103" t="s">
        <v>83</v>
      </c>
      <c r="CC2" s="103" t="s">
        <v>84</v>
      </c>
      <c r="CD2" s="103" t="s">
        <v>85</v>
      </c>
      <c r="CE2" s="19" t="s">
        <v>86</v>
      </c>
      <c r="CF2" s="104" t="s">
        <v>87</v>
      </c>
      <c r="CG2" s="7" t="s">
        <v>88</v>
      </c>
      <c r="CH2" s="12" t="s">
        <v>89</v>
      </c>
      <c r="CI2" s="20" t="s">
        <v>51</v>
      </c>
      <c r="CS2" s="45" t="s">
        <v>6</v>
      </c>
      <c r="CT2" s="46" t="s">
        <v>7</v>
      </c>
      <c r="CU2" s="46" t="s">
        <v>8</v>
      </c>
      <c r="CV2" s="46" t="s">
        <v>9</v>
      </c>
      <c r="CW2" s="46" t="s">
        <v>10</v>
      </c>
      <c r="CX2" s="46" t="s">
        <v>11</v>
      </c>
      <c r="CY2" s="46" t="s">
        <v>12</v>
      </c>
      <c r="CZ2" s="46" t="s">
        <v>13</v>
      </c>
      <c r="DA2" s="49" t="s">
        <v>14</v>
      </c>
      <c r="DC2" s="45" t="s">
        <v>6</v>
      </c>
      <c r="DD2" s="46" t="s">
        <v>7</v>
      </c>
      <c r="DE2" s="46" t="s">
        <v>8</v>
      </c>
      <c r="DF2" s="46" t="s">
        <v>9</v>
      </c>
      <c r="DG2" s="46" t="s">
        <v>10</v>
      </c>
      <c r="DH2" s="46" t="s">
        <v>11</v>
      </c>
      <c r="DI2" s="46" t="s">
        <v>12</v>
      </c>
      <c r="DJ2" s="46" t="s">
        <v>13</v>
      </c>
      <c r="DK2" s="49" t="s">
        <v>14</v>
      </c>
    </row>
    <row r="3" spans="1:115" s="16" customFormat="1" ht="17.25" x14ac:dyDescent="0.25">
      <c r="A3" s="30" t="s">
        <v>73</v>
      </c>
      <c r="B3" s="30" t="s">
        <v>74</v>
      </c>
      <c r="C3" s="30"/>
      <c r="D3" s="38" t="s">
        <v>75</v>
      </c>
      <c r="E3" s="39" t="s">
        <v>76</v>
      </c>
      <c r="F3" s="147"/>
      <c r="G3" s="13"/>
      <c r="H3" s="124" t="s">
        <v>54</v>
      </c>
      <c r="I3" s="60" t="s">
        <v>77</v>
      </c>
      <c r="J3" s="63" t="s">
        <v>190</v>
      </c>
      <c r="K3" s="66" t="s">
        <v>102</v>
      </c>
      <c r="L3" s="70" t="s">
        <v>52</v>
      </c>
      <c r="M3" s="21" t="s">
        <v>53</v>
      </c>
      <c r="N3" s="21" t="s">
        <v>53</v>
      </c>
      <c r="O3" s="21" t="s">
        <v>53</v>
      </c>
      <c r="P3" s="88" t="s">
        <v>30</v>
      </c>
      <c r="Q3" s="132"/>
      <c r="R3" s="132"/>
      <c r="S3" s="82" t="s">
        <v>54</v>
      </c>
      <c r="T3" s="22" t="s">
        <v>54</v>
      </c>
      <c r="U3" s="22" t="s">
        <v>54</v>
      </c>
      <c r="V3" s="81" t="s">
        <v>54</v>
      </c>
      <c r="W3" s="22" t="s">
        <v>127</v>
      </c>
      <c r="X3" s="22" t="s">
        <v>127</v>
      </c>
      <c r="Y3" s="22" t="s">
        <v>127</v>
      </c>
      <c r="Z3" s="22" t="s">
        <v>116</v>
      </c>
      <c r="AA3" s="22" t="s">
        <v>116</v>
      </c>
      <c r="AB3" s="92" t="s">
        <v>116</v>
      </c>
      <c r="AC3" s="81" t="s">
        <v>121</v>
      </c>
      <c r="AD3" s="82" t="s">
        <v>99</v>
      </c>
      <c r="AE3" s="22" t="s">
        <v>100</v>
      </c>
      <c r="AF3" s="22" t="s">
        <v>100</v>
      </c>
      <c r="AG3" s="22" t="s">
        <v>54</v>
      </c>
      <c r="AH3" s="22" t="s">
        <v>54</v>
      </c>
      <c r="AI3" s="81" t="s">
        <v>54</v>
      </c>
      <c r="AJ3" s="126" t="s">
        <v>59</v>
      </c>
      <c r="AK3" s="95" t="s">
        <v>59</v>
      </c>
      <c r="AL3" s="54" t="s">
        <v>59</v>
      </c>
      <c r="AM3" s="54" t="s">
        <v>147</v>
      </c>
      <c r="AN3" s="54" t="s">
        <v>59</v>
      </c>
      <c r="AO3" s="54" t="s">
        <v>59</v>
      </c>
      <c r="AP3" s="54"/>
      <c r="AQ3" s="52" t="s">
        <v>19</v>
      </c>
      <c r="AR3" s="52" t="s">
        <v>19</v>
      </c>
      <c r="AS3" s="121"/>
      <c r="AT3" s="31"/>
      <c r="AU3" s="12" t="s">
        <v>78</v>
      </c>
      <c r="AV3" s="12" t="s">
        <v>78</v>
      </c>
      <c r="AW3" s="12" t="s">
        <v>78</v>
      </c>
      <c r="AX3" s="12" t="s">
        <v>78</v>
      </c>
      <c r="AY3" s="12" t="s">
        <v>78</v>
      </c>
      <c r="AZ3" s="12" t="s">
        <v>78</v>
      </c>
      <c r="BA3" s="12" t="s">
        <v>78</v>
      </c>
      <c r="BB3" s="12" t="s">
        <v>78</v>
      </c>
      <c r="BC3" s="12" t="s">
        <v>78</v>
      </c>
      <c r="BD3" s="12" t="s">
        <v>78</v>
      </c>
      <c r="BE3" s="9" t="s">
        <v>78</v>
      </c>
      <c r="BF3" s="120" t="s">
        <v>78</v>
      </c>
      <c r="BG3" s="13"/>
      <c r="BH3" s="9" t="s">
        <v>78</v>
      </c>
      <c r="BI3" s="14" t="s">
        <v>55</v>
      </c>
      <c r="BJ3" s="99" t="s">
        <v>58</v>
      </c>
      <c r="BK3" s="102" t="s">
        <v>56</v>
      </c>
      <c r="BL3" s="102" t="s">
        <v>57</v>
      </c>
      <c r="BM3" s="4" t="s">
        <v>24</v>
      </c>
      <c r="BN3" s="99" t="s">
        <v>25</v>
      </c>
      <c r="BO3" s="99" t="s">
        <v>25</v>
      </c>
      <c r="BP3" s="99" t="s">
        <v>25</v>
      </c>
      <c r="BQ3" s="99" t="s">
        <v>25</v>
      </c>
      <c r="BR3" s="99" t="s">
        <v>25</v>
      </c>
      <c r="BS3" s="99" t="s">
        <v>25</v>
      </c>
      <c r="BT3" s="99" t="s">
        <v>25</v>
      </c>
      <c r="BU3" s="99" t="s">
        <v>25</v>
      </c>
      <c r="BV3" s="15" t="s">
        <v>25</v>
      </c>
      <c r="BW3" s="99" t="s">
        <v>26</v>
      </c>
      <c r="BX3" s="99" t="s">
        <v>26</v>
      </c>
      <c r="BY3" s="99" t="s">
        <v>26</v>
      </c>
      <c r="BZ3" s="99" t="s">
        <v>26</v>
      </c>
      <c r="CA3" s="99" t="s">
        <v>26</v>
      </c>
      <c r="CB3" s="99" t="s">
        <v>26</v>
      </c>
      <c r="CC3" s="99" t="s">
        <v>26</v>
      </c>
      <c r="CD3" s="99" t="s">
        <v>26</v>
      </c>
      <c r="CE3" s="15" t="s">
        <v>26</v>
      </c>
      <c r="CF3" s="7" t="s">
        <v>27</v>
      </c>
      <c r="CG3" s="7" t="s">
        <v>27</v>
      </c>
      <c r="CH3" s="7" t="s">
        <v>27</v>
      </c>
      <c r="CI3" s="6" t="s">
        <v>55</v>
      </c>
      <c r="CS3" s="45"/>
      <c r="CT3" s="46"/>
      <c r="CU3" s="46"/>
      <c r="CV3" s="46" t="s">
        <v>17</v>
      </c>
      <c r="CW3" s="46"/>
      <c r="CX3" s="46" t="s">
        <v>18</v>
      </c>
      <c r="CY3" s="46"/>
      <c r="CZ3" s="46" t="s">
        <v>18</v>
      </c>
      <c r="DA3" s="49" t="s">
        <v>19</v>
      </c>
      <c r="DC3" s="45"/>
      <c r="DD3" s="46"/>
      <c r="DE3" s="46"/>
      <c r="DF3" s="46" t="s">
        <v>17</v>
      </c>
      <c r="DG3" s="46"/>
      <c r="DH3" s="46" t="s">
        <v>18</v>
      </c>
      <c r="DI3" s="46"/>
      <c r="DJ3" s="46" t="s">
        <v>18</v>
      </c>
      <c r="DK3" s="49" t="s">
        <v>19</v>
      </c>
    </row>
    <row r="4" spans="1:115" ht="12.75" customHeight="1" x14ac:dyDescent="0.2">
      <c r="A4" s="30">
        <v>1</v>
      </c>
      <c r="B4" s="141" t="s">
        <v>109</v>
      </c>
      <c r="C4" s="142" t="s">
        <v>22</v>
      </c>
      <c r="D4" s="40">
        <v>42674.474999999999</v>
      </c>
      <c r="E4" s="33">
        <v>1000</v>
      </c>
      <c r="F4" s="149" t="s">
        <v>178</v>
      </c>
      <c r="G4" s="149" t="s">
        <v>179</v>
      </c>
      <c r="H4" s="109"/>
      <c r="I4" s="321">
        <v>7.37</v>
      </c>
      <c r="J4" s="263">
        <v>265</v>
      </c>
      <c r="K4" s="264">
        <v>54.3</v>
      </c>
      <c r="L4" s="264">
        <v>22.2</v>
      </c>
      <c r="M4" s="320">
        <v>3.2000000000000001E-2</v>
      </c>
      <c r="N4" s="265">
        <v>2E-3</v>
      </c>
      <c r="O4" s="262">
        <v>1E-3</v>
      </c>
      <c r="P4" s="143">
        <v>1.9470000000000001</v>
      </c>
      <c r="Q4" s="251">
        <f t="shared" ref="Q4:Q12" si="0">M4/P4</f>
        <v>1.6435541859270673E-2</v>
      </c>
      <c r="R4" s="251">
        <f t="shared" ref="R4:R12" si="1">M4/N4</f>
        <v>16</v>
      </c>
      <c r="S4" s="112">
        <v>5.7350000000000003</v>
      </c>
      <c r="T4" s="112">
        <v>1.238</v>
      </c>
      <c r="U4" s="112">
        <v>1.806</v>
      </c>
      <c r="V4" s="262">
        <v>0.59399999999999997</v>
      </c>
      <c r="W4" s="148"/>
      <c r="X4" s="148"/>
      <c r="Y4" s="72">
        <v>14</v>
      </c>
      <c r="Z4" s="34"/>
      <c r="AA4" s="34"/>
      <c r="AB4" s="93"/>
      <c r="AC4" s="90"/>
      <c r="AD4" s="274">
        <v>7.8662000000000001</v>
      </c>
      <c r="AE4" s="274">
        <v>0.2205</v>
      </c>
      <c r="AF4" s="274">
        <v>0.2989</v>
      </c>
      <c r="AG4" s="275">
        <v>0.79020000000000001</v>
      </c>
      <c r="AH4" s="276">
        <v>3.9800000000000002E-2</v>
      </c>
      <c r="AI4" s="275">
        <v>3.9800000000000002E-2</v>
      </c>
      <c r="AJ4" s="109">
        <v>9</v>
      </c>
      <c r="AK4" s="109">
        <v>10</v>
      </c>
      <c r="AL4" s="109">
        <v>9</v>
      </c>
      <c r="AN4" s="260">
        <v>0</v>
      </c>
      <c r="AO4" s="76">
        <f t="shared" ref="AO4:AO12" si="2">AK4-AL4</f>
        <v>1</v>
      </c>
      <c r="AP4" s="123"/>
      <c r="AQ4" s="248">
        <f t="shared" ref="AQ4:AQ12" si="3">+(5.5*(P4))*(10^-(0.96+0.9*I4-0.039*((I4)^2)))/((10^-(0.96+0.9*I4-0.039*((I4)^2)))+(10^-I4))</f>
        <v>10.57395169773322</v>
      </c>
      <c r="AR4" s="248">
        <f t="shared" ref="AR4:AR12" si="4">+(5.5*(P4))*(10^-(0.96+0.9*4.5-0.039*((4.5)^2)))/((10^-(0.96+0.9*4.5-0.039*((4.5)^2)))+(10^-4.5))</f>
        <v>7.021462355341483</v>
      </c>
      <c r="AS4" s="57"/>
      <c r="AT4" s="35"/>
      <c r="AU4" s="23">
        <f t="shared" ref="AU4:AU12" si="5">(10^-I4)*1000000</f>
        <v>4.2657951880159237E-2</v>
      </c>
      <c r="AV4" s="25">
        <f t="shared" ref="AV4:AV12" si="6">(S4/40.078*1000)*2</f>
        <v>286.19192574479763</v>
      </c>
      <c r="AW4" s="25">
        <f t="shared" ref="AW4:AW12" si="7">(T4/24.312*1000)*2</f>
        <v>101.84271141822967</v>
      </c>
      <c r="AX4" s="24">
        <f t="shared" ref="AX4:AX12" si="8">(U4/22.99*1000)</f>
        <v>78.555893866898671</v>
      </c>
      <c r="AY4" s="24">
        <f t="shared" ref="AY4:AY12" si="9">(V4/39.102*1000)</f>
        <v>15.191038821543655</v>
      </c>
      <c r="AZ4" s="25">
        <f t="shared" ref="AZ4:AZ12" si="10">(AD4/96.064*1000)*2</f>
        <v>163.76998667554966</v>
      </c>
      <c r="BA4" s="24">
        <f t="shared" ref="BA4:BA12" si="11">(AE4/62.0067*1000)</f>
        <v>3.5560673282080804</v>
      </c>
      <c r="BB4" s="24">
        <f t="shared" ref="BB4:BB12" si="12">(AG4/35.453*1000)</f>
        <v>22.288663864835129</v>
      </c>
      <c r="BC4" s="23">
        <f t="shared" ref="BC4:BC12" si="13">(AH4/18.998)*1000</f>
        <v>2.0949573639330459</v>
      </c>
      <c r="BD4" s="23">
        <f t="shared" ref="BD4:BD12" si="14">+AL4/30.97*3</f>
        <v>0.8718114304165322</v>
      </c>
      <c r="BE4" s="25">
        <f t="shared" ref="BE4:BE12" si="15">IF(I4&lt;5.5,0,J4-31.62+AU4)-(AQ4-AR4)</f>
        <v>229.87016860948842</v>
      </c>
      <c r="BF4" s="249">
        <f t="shared" ref="BF4:BF12" si="16">AQ4</f>
        <v>10.57395169773322</v>
      </c>
      <c r="BG4" s="26"/>
      <c r="BH4" s="25">
        <f t="shared" ref="BH4:BH12" si="17">SUM(AU4:AY4)-SUM(AZ4:BF4)</f>
        <v>48.79862083318568</v>
      </c>
      <c r="BI4" s="137">
        <f t="shared" ref="BI4:BI12" si="18">BH4/SUM(AU4:BF4)*100</f>
        <v>5.3340580036576792</v>
      </c>
      <c r="BJ4" s="100">
        <f t="shared" ref="BJ4:BJ12" si="19">0.5*(SUM(AU4:AY4)+SUM(AZ4:BC4))*0.000001</f>
        <v>3.3676695151793785E-4</v>
      </c>
      <c r="BK4" s="23">
        <f t="shared" ref="BK4:BK12" si="20">(10^(-0.51*BJ4^0.5))</f>
        <v>0.97868038083858144</v>
      </c>
      <c r="BL4" s="23">
        <f t="shared" ref="BL4:BL12" si="21">(10^(-0.51*4*BJ4^0.5))</f>
        <v>0.91741012561686275</v>
      </c>
      <c r="BM4" s="43">
        <f t="shared" ref="BM4:BM12" si="22">(10^(-0.51*2.3^2*BJ4^0.5))</f>
        <v>0.89225762369694961</v>
      </c>
      <c r="BN4" s="100">
        <f t="shared" ref="BN4:BN12" si="23">(BK4*AU4*10^-9)</f>
        <v>4.1748500591868128E-11</v>
      </c>
      <c r="BO4" s="100">
        <f t="shared" ref="BO4:BO12" si="24">(BL4*0.5*AV4*10^-9)</f>
        <v>1.3127768527403333E-7</v>
      </c>
      <c r="BP4" s="100">
        <f t="shared" ref="BP4:BP12" si="25">(BL4*0.5*AW4*10^-9)</f>
        <v>4.6715767337679996E-8</v>
      </c>
      <c r="BQ4" s="100">
        <f t="shared" ref="BQ4:BQ12" si="26">(BK4*AX4*10^-9)</f>
        <v>7.6881112126771578E-8</v>
      </c>
      <c r="BR4" s="100">
        <f t="shared" ref="BR4:BR12" si="27">(BK4*AY4*10^-9)</f>
        <v>1.4867171659202021E-8</v>
      </c>
      <c r="BS4" s="100">
        <f t="shared" ref="BS4:BS12" si="28">(BL4*0.5*AZ4*10^-9)</f>
        <v>7.5122122024143981E-8</v>
      </c>
      <c r="BT4" s="100">
        <f t="shared" ref="BT4:BT12" si="29">(BK4*BB4*10^-9)</f>
        <v>2.1813478039619974E-8</v>
      </c>
      <c r="BU4" s="100">
        <f t="shared" ref="BU4:BU12" si="30">(BK4*BA4*10^-9)</f>
        <v>3.4802533270583207E-9</v>
      </c>
      <c r="BV4" s="44">
        <f t="shared" ref="BV4:BV12" si="31">(BK4*BE4*10^-9)</f>
        <v>2.2496942415816308E-7</v>
      </c>
      <c r="BW4" s="100">
        <f t="shared" ref="BW4:BW12" si="32">(BN4*349.6)</f>
        <v>1.4595275806917099E-8</v>
      </c>
      <c r="BX4" s="100">
        <f t="shared" ref="BX4:BX12" si="33">(BO4*119)</f>
        <v>1.5622044547609966E-5</v>
      </c>
      <c r="BY4" s="100">
        <f t="shared" ref="BY4:BY12" si="34">(BP4*106)</f>
        <v>4.9518713377940795E-6</v>
      </c>
      <c r="BZ4" s="100">
        <f t="shared" ref="BZ4:BZ12" si="35">(BQ4*50.1)</f>
        <v>3.8517437175512558E-6</v>
      </c>
      <c r="CA4" s="100">
        <f t="shared" ref="CA4:CA12" si="36">(BR4*73.5)</f>
        <v>1.0927371169513485E-6</v>
      </c>
      <c r="CB4" s="100">
        <f t="shared" ref="CB4:CB12" si="37">(BS4*160)</f>
        <v>1.2019539523863036E-5</v>
      </c>
      <c r="CC4" s="100">
        <f t="shared" ref="CC4:CC12" si="38">(BT4*76.3)</f>
        <v>1.664368374423004E-6</v>
      </c>
      <c r="CD4" s="100">
        <f t="shared" ref="CD4:CD12" si="39">(BU4*71.4)</f>
        <v>2.4849008755196412E-7</v>
      </c>
      <c r="CE4" s="44">
        <f t="shared" ref="CE4:CE12" si="40">(BV4*44.5)</f>
        <v>1.0011139375038257E-5</v>
      </c>
      <c r="CF4" s="24">
        <f t="shared" ref="CF4:CF12" si="41">(SUM(BW4:CD4)*10^5)</f>
        <v>3.9465389981551562</v>
      </c>
      <c r="CG4" s="24">
        <f t="shared" ref="CG4:CG12" si="42">K4/10</f>
        <v>5.43</v>
      </c>
      <c r="CH4" s="24">
        <f t="shared" ref="CH4:CH12" si="43">(CG4-CF4)</f>
        <v>1.4834610018448435</v>
      </c>
      <c r="CI4" s="27">
        <f t="shared" ref="CI4:CI12" si="44">(CH4*100/CG4)</f>
        <v>27.319723790881099</v>
      </c>
      <c r="CJ4" s="16"/>
      <c r="CK4" s="72"/>
      <c r="CL4" s="72"/>
      <c r="CM4" s="72"/>
      <c r="CN4" s="72"/>
      <c r="CO4" s="72"/>
      <c r="CP4" s="72"/>
      <c r="CQ4" s="72"/>
      <c r="CR4" s="72"/>
      <c r="CS4" s="47">
        <v>3.29</v>
      </c>
      <c r="CT4" s="48">
        <f t="shared" ref="CT4:CT12" si="45">10^-CS4</f>
        <v>5.1286138399136462E-4</v>
      </c>
      <c r="CU4" s="48">
        <v>3.1622776601683798E-2</v>
      </c>
      <c r="CV4" s="48">
        <f t="shared" ref="CV4:CV12" si="46">+CT4*CU4</f>
        <v>1.6218100973589295E-5</v>
      </c>
      <c r="CW4" s="48">
        <v>5.0118723362727197E-7</v>
      </c>
      <c r="CX4" s="48">
        <f t="shared" ref="CX4:CX12" si="47">+((CW4/(10^(-I4)))*CV4)*1000000</f>
        <v>190.54607179632464</v>
      </c>
      <c r="CY4" s="48">
        <v>5.6234132519034893E-11</v>
      </c>
      <c r="CZ4" s="48">
        <f t="shared" ref="CZ4:CZ12" si="48">+(((CW4*CY4)/(10^(-I4)))*CV4)*1000000</f>
        <v>1.0715193052376056E-8</v>
      </c>
      <c r="DA4" s="97">
        <f t="shared" ref="DA4:DA12" si="49">+CX4+2*CZ4</f>
        <v>190.54607181775503</v>
      </c>
      <c r="DB4" s="106"/>
      <c r="DC4" s="47">
        <v>3.42</v>
      </c>
      <c r="DD4" s="48">
        <f t="shared" ref="DD4:DD12" si="50">10^-DC4</f>
        <v>3.8018939632056113E-4</v>
      </c>
      <c r="DE4" s="48">
        <v>3.1622776601683798E-2</v>
      </c>
      <c r="DF4" s="48">
        <f t="shared" ref="DF4:DF12" si="51">+DD4*DE4</f>
        <v>1.2022644346174128E-5</v>
      </c>
      <c r="DG4" s="48">
        <v>5.0118723362727197E-7</v>
      </c>
      <c r="DH4" s="48">
        <f t="shared" ref="DH4:DH12" si="52">+((DG4/(10^(-I4)))*DF4)*1000000</f>
        <v>141.2537544622754</v>
      </c>
      <c r="DI4" s="48">
        <v>5.6234132519034893E-11</v>
      </c>
      <c r="DJ4" s="48">
        <f t="shared" ref="DJ4:DJ12" si="53">+(((DG4*DI4)/(10^(-I4)))*DF4)*1000000</f>
        <v>7.943282347242812E-9</v>
      </c>
      <c r="DK4" s="97">
        <f t="shared" ref="DK4:DK12" si="54">+DH4+2*DJ4</f>
        <v>141.25375447816197</v>
      </c>
    </row>
    <row r="5" spans="1:115" s="233" customFormat="1" ht="12.75" x14ac:dyDescent="0.2">
      <c r="A5" s="30">
        <v>6</v>
      </c>
      <c r="B5" s="141" t="s">
        <v>111</v>
      </c>
      <c r="C5" s="142" t="s">
        <v>22</v>
      </c>
      <c r="D5" s="40">
        <v>42674.625</v>
      </c>
      <c r="E5" s="33">
        <v>1000</v>
      </c>
      <c r="F5" s="149" t="s">
        <v>185</v>
      </c>
      <c r="G5" s="149" t="s">
        <v>186</v>
      </c>
      <c r="H5" s="109"/>
      <c r="I5" s="321">
        <v>7.53</v>
      </c>
      <c r="J5" s="263">
        <v>1774</v>
      </c>
      <c r="K5" s="264">
        <v>229</v>
      </c>
      <c r="L5" s="264">
        <v>22.1</v>
      </c>
      <c r="M5" s="320">
        <v>0.182</v>
      </c>
      <c r="N5" s="265">
        <v>1.4999999999999999E-2</v>
      </c>
      <c r="O5" s="269">
        <v>1.6000000000000001E-3</v>
      </c>
      <c r="P5" s="143">
        <v>7.7439999999999998</v>
      </c>
      <c r="Q5" s="251">
        <f t="shared" si="0"/>
        <v>2.3502066115702481E-2</v>
      </c>
      <c r="R5" s="251">
        <f t="shared" si="1"/>
        <v>12.133333333333333</v>
      </c>
      <c r="S5" s="34">
        <v>25.934999999999999</v>
      </c>
      <c r="T5" s="112">
        <v>3.7250000000000001</v>
      </c>
      <c r="U5" s="34">
        <v>10.303000000000001</v>
      </c>
      <c r="V5" s="112">
        <v>1.85</v>
      </c>
      <c r="W5" s="148"/>
      <c r="X5" s="148"/>
      <c r="Y5" s="72">
        <v>13</v>
      </c>
      <c r="Z5" s="34"/>
      <c r="AA5" s="34"/>
      <c r="AB5" s="93"/>
      <c r="AC5" s="90"/>
      <c r="AD5" s="274">
        <v>7.8555999999999999</v>
      </c>
      <c r="AE5" s="270"/>
      <c r="AF5" s="274">
        <v>2.7363</v>
      </c>
      <c r="AG5" s="275">
        <v>12.942299999999999</v>
      </c>
      <c r="AH5" s="276">
        <v>3.9699999999999999E-2</v>
      </c>
      <c r="AI5" s="271"/>
      <c r="AJ5" s="109">
        <v>12</v>
      </c>
      <c r="AK5" s="109">
        <v>14</v>
      </c>
      <c r="AL5" s="109">
        <v>9</v>
      </c>
      <c r="AM5" s="1"/>
      <c r="AN5" s="260">
        <v>0</v>
      </c>
      <c r="AO5" s="76">
        <f t="shared" si="2"/>
        <v>5</v>
      </c>
      <c r="AP5" s="123"/>
      <c r="AQ5" s="248">
        <f t="shared" si="3"/>
        <v>42.174444440542096</v>
      </c>
      <c r="AR5" s="248">
        <f t="shared" si="4"/>
        <v>27.927172305990979</v>
      </c>
      <c r="AS5" s="57"/>
      <c r="AT5" s="35"/>
      <c r="AU5" s="23">
        <f t="shared" si="5"/>
        <v>2.9512092266663778E-2</v>
      </c>
      <c r="AV5" s="25">
        <f t="shared" si="6"/>
        <v>1294.2262587953487</v>
      </c>
      <c r="AW5" s="25">
        <f t="shared" si="7"/>
        <v>306.43303718328394</v>
      </c>
      <c r="AX5" s="25">
        <f t="shared" si="8"/>
        <v>448.15137016093956</v>
      </c>
      <c r="AY5" s="24">
        <f t="shared" si="9"/>
        <v>47.312157945885126</v>
      </c>
      <c r="AZ5" s="25">
        <f t="shared" si="10"/>
        <v>163.54930046635576</v>
      </c>
      <c r="BA5" s="24">
        <f t="shared" si="11"/>
        <v>0</v>
      </c>
      <c r="BB5" s="25">
        <f t="shared" si="12"/>
        <v>365.05514342932895</v>
      </c>
      <c r="BC5" s="23">
        <f t="shared" si="13"/>
        <v>2.0896936519633647</v>
      </c>
      <c r="BD5" s="23">
        <f t="shared" si="14"/>
        <v>0.8718114304165322</v>
      </c>
      <c r="BE5" s="25">
        <f t="shared" si="15"/>
        <v>1728.1622399577157</v>
      </c>
      <c r="BF5" s="249">
        <f t="shared" si="16"/>
        <v>42.174444440542096</v>
      </c>
      <c r="BG5" s="26"/>
      <c r="BH5" s="25">
        <f t="shared" si="17"/>
        <v>-205.75029719859822</v>
      </c>
      <c r="BI5" s="137">
        <f t="shared" si="18"/>
        <v>-4.6782111324875242</v>
      </c>
      <c r="BJ5" s="100">
        <f t="shared" si="19"/>
        <v>1.3134232368626859E-3</v>
      </c>
      <c r="BK5" s="23">
        <f t="shared" si="20"/>
        <v>0.95833422289059977</v>
      </c>
      <c r="BL5" s="23">
        <f t="shared" si="21"/>
        <v>0.84346679395977908</v>
      </c>
      <c r="BM5" s="43">
        <f t="shared" si="22"/>
        <v>0.7984080671248811</v>
      </c>
      <c r="BN5" s="100">
        <f t="shared" si="23"/>
        <v>2.8282448008248913E-11</v>
      </c>
      <c r="BO5" s="100">
        <f t="shared" si="24"/>
        <v>5.458184365823361E-7</v>
      </c>
      <c r="BP5" s="100">
        <f t="shared" si="25"/>
        <v>1.2923304571817113E-7</v>
      </c>
      <c r="BQ5" s="100">
        <f t="shared" si="26"/>
        <v>4.2947879506054155E-7</v>
      </c>
      <c r="BR5" s="100">
        <f t="shared" si="27"/>
        <v>4.5340860118347143E-8</v>
      </c>
      <c r="BS5" s="100">
        <f t="shared" si="28"/>
        <v>6.8974202059360847E-8</v>
      </c>
      <c r="BT5" s="100">
        <f t="shared" si="29"/>
        <v>3.4984483719056239E-7</v>
      </c>
      <c r="BU5" s="100">
        <f t="shared" si="30"/>
        <v>0</v>
      </c>
      <c r="BV5" s="44">
        <f t="shared" si="31"/>
        <v>1.6561570172587556E-6</v>
      </c>
      <c r="BW5" s="100">
        <f t="shared" si="32"/>
        <v>9.8875438236838212E-9</v>
      </c>
      <c r="BX5" s="100">
        <f t="shared" si="33"/>
        <v>6.4952393953298E-5</v>
      </c>
      <c r="BY5" s="100">
        <f t="shared" si="34"/>
        <v>1.3698702846126139E-5</v>
      </c>
      <c r="BZ5" s="100">
        <f t="shared" si="35"/>
        <v>2.1516887632533131E-5</v>
      </c>
      <c r="CA5" s="100">
        <f t="shared" si="36"/>
        <v>3.332553218698515E-6</v>
      </c>
      <c r="CB5" s="100">
        <f t="shared" si="37"/>
        <v>1.1035872329497735E-5</v>
      </c>
      <c r="CC5" s="100">
        <f t="shared" si="38"/>
        <v>2.6693161077639908E-5</v>
      </c>
      <c r="CD5" s="100">
        <f t="shared" si="39"/>
        <v>0</v>
      </c>
      <c r="CE5" s="44">
        <f t="shared" si="40"/>
        <v>7.3698987268014626E-5</v>
      </c>
      <c r="CF5" s="138">
        <f t="shared" si="41"/>
        <v>14.123945860161712</v>
      </c>
      <c r="CG5" s="138">
        <f t="shared" si="42"/>
        <v>22.9</v>
      </c>
      <c r="CH5" s="24">
        <f t="shared" si="43"/>
        <v>8.776054139838287</v>
      </c>
      <c r="CI5" s="27">
        <f t="shared" si="44"/>
        <v>38.3233805233113</v>
      </c>
      <c r="CJ5" s="72"/>
      <c r="CK5" s="72"/>
      <c r="CL5" s="72"/>
      <c r="CM5" s="72"/>
      <c r="CN5" s="72"/>
      <c r="CO5" s="72"/>
      <c r="CP5" s="72"/>
      <c r="CQ5" s="72"/>
      <c r="CR5" s="72"/>
      <c r="CS5" s="47">
        <v>2.92</v>
      </c>
      <c r="CT5" s="48">
        <f t="shared" si="45"/>
        <v>1.2022644346174124E-3</v>
      </c>
      <c r="CU5" s="48">
        <v>3.1622776601683798E-2</v>
      </c>
      <c r="CV5" s="48">
        <f t="shared" si="46"/>
        <v>3.801893963205611E-5</v>
      </c>
      <c r="CW5" s="48">
        <v>5.0118723362727197E-7</v>
      </c>
      <c r="CX5" s="48">
        <f t="shared" si="47"/>
        <v>645.65422903465662</v>
      </c>
      <c r="CY5" s="48">
        <v>5.6234132519034893E-11</v>
      </c>
      <c r="CZ5" s="48">
        <f t="shared" si="48"/>
        <v>3.6307805477010188E-8</v>
      </c>
      <c r="DA5" s="97">
        <f t="shared" si="49"/>
        <v>645.65422910727227</v>
      </c>
      <c r="DB5" s="106"/>
      <c r="DC5" s="47">
        <v>3.42</v>
      </c>
      <c r="DD5" s="48">
        <f t="shared" si="50"/>
        <v>3.8018939632056113E-4</v>
      </c>
      <c r="DE5" s="48">
        <v>3.1622776601683798E-2</v>
      </c>
      <c r="DF5" s="48">
        <f t="shared" si="51"/>
        <v>1.2022644346174128E-5</v>
      </c>
      <c r="DG5" s="48">
        <v>5.0118723362727197E-7</v>
      </c>
      <c r="DH5" s="48">
        <f t="shared" si="52"/>
        <v>204.1737944669533</v>
      </c>
      <c r="DI5" s="48">
        <v>5.6234132519034893E-11</v>
      </c>
      <c r="DJ5" s="48">
        <f t="shared" si="53"/>
        <v>1.1481536214968847E-8</v>
      </c>
      <c r="DK5" s="97">
        <f t="shared" si="54"/>
        <v>204.17379448991636</v>
      </c>
    </row>
    <row r="6" spans="1:115" ht="12.75" x14ac:dyDescent="0.2">
      <c r="A6" s="30">
        <v>9</v>
      </c>
      <c r="B6" s="141" t="s">
        <v>187</v>
      </c>
      <c r="C6" s="142" t="s">
        <v>22</v>
      </c>
      <c r="D6" s="40">
        <v>42674.604861111111</v>
      </c>
      <c r="E6" s="33">
        <v>1000</v>
      </c>
      <c r="F6" s="149" t="s">
        <v>188</v>
      </c>
      <c r="G6" s="149" t="s">
        <v>189</v>
      </c>
      <c r="H6" s="109"/>
      <c r="I6" s="321">
        <v>7.27</v>
      </c>
      <c r="J6" s="263">
        <v>1230</v>
      </c>
      <c r="K6" s="267">
        <v>362</v>
      </c>
      <c r="L6" s="264">
        <v>22.4</v>
      </c>
      <c r="M6" s="320">
        <v>0.157</v>
      </c>
      <c r="N6" s="265">
        <v>1.7000000000000001E-2</v>
      </c>
      <c r="O6" s="262">
        <v>5.0000000000000001E-3</v>
      </c>
      <c r="P6" s="143">
        <v>7.7350000000000003</v>
      </c>
      <c r="Q6" s="251">
        <f t="shared" si="0"/>
        <v>2.0297349709114416E-2</v>
      </c>
      <c r="R6" s="251">
        <f t="shared" si="1"/>
        <v>9.235294117647058</v>
      </c>
      <c r="S6" s="34">
        <v>23.431000000000001</v>
      </c>
      <c r="T6" s="112">
        <v>3.0590000000000002</v>
      </c>
      <c r="U6" s="34">
        <v>20.300999999999998</v>
      </c>
      <c r="V6" s="112">
        <v>3.7639999999999998</v>
      </c>
      <c r="W6" s="259"/>
      <c r="X6" s="259"/>
      <c r="Y6" s="253">
        <v>38</v>
      </c>
      <c r="Z6" s="34"/>
      <c r="AA6" s="34"/>
      <c r="AB6" s="93"/>
      <c r="AC6" s="90"/>
      <c r="AD6" s="272">
        <v>20.865400000000001</v>
      </c>
      <c r="AE6" s="274">
        <v>1.0989</v>
      </c>
      <c r="AF6" s="271"/>
      <c r="AG6" s="273">
        <v>39.933300000000003</v>
      </c>
      <c r="AH6" s="271"/>
      <c r="AI6" s="271"/>
      <c r="AJ6" s="109">
        <v>320</v>
      </c>
      <c r="AK6" s="109">
        <v>12</v>
      </c>
      <c r="AL6" s="109">
        <v>11</v>
      </c>
      <c r="AN6" s="97">
        <f>AJ6-AK6</f>
        <v>308</v>
      </c>
      <c r="AO6" s="76">
        <f t="shared" si="2"/>
        <v>1</v>
      </c>
      <c r="AP6" s="123"/>
      <c r="AQ6" s="248">
        <f t="shared" si="3"/>
        <v>41.91997342087334</v>
      </c>
      <c r="AR6" s="248">
        <f t="shared" si="4"/>
        <v>27.894715623300655</v>
      </c>
      <c r="AS6" s="57"/>
      <c r="AT6" s="35"/>
      <c r="AU6" s="23">
        <f t="shared" si="5"/>
        <v>5.3703179637025193E-2</v>
      </c>
      <c r="AV6" s="25">
        <f t="shared" si="6"/>
        <v>1169.2699236488845</v>
      </c>
      <c r="AW6" s="25">
        <f t="shared" si="7"/>
        <v>251.64527805199077</v>
      </c>
      <c r="AX6" s="25">
        <f t="shared" si="8"/>
        <v>883.03610265332759</v>
      </c>
      <c r="AY6" s="24">
        <f t="shared" si="9"/>
        <v>96.261060815303566</v>
      </c>
      <c r="AZ6" s="25">
        <f t="shared" si="10"/>
        <v>434.40622918054635</v>
      </c>
      <c r="BA6" s="24">
        <f t="shared" si="11"/>
        <v>17.722278398947211</v>
      </c>
      <c r="BB6" s="25">
        <f t="shared" si="12"/>
        <v>1126.3729444616818</v>
      </c>
      <c r="BC6" s="23">
        <f t="shared" si="13"/>
        <v>0</v>
      </c>
      <c r="BD6" s="23">
        <f t="shared" si="14"/>
        <v>1.0655473038424281</v>
      </c>
      <c r="BE6" s="25">
        <f t="shared" si="15"/>
        <v>1184.4084453820644</v>
      </c>
      <c r="BF6" s="249">
        <f t="shared" si="16"/>
        <v>41.91997342087334</v>
      </c>
      <c r="BG6" s="26"/>
      <c r="BH6" s="25">
        <f t="shared" si="17"/>
        <v>-405.62934979881175</v>
      </c>
      <c r="BI6" s="137">
        <f t="shared" si="18"/>
        <v>-7.7913324596416702</v>
      </c>
      <c r="BJ6" s="100">
        <f t="shared" si="19"/>
        <v>1.9893837601951594E-3</v>
      </c>
      <c r="BK6" s="23">
        <f t="shared" si="20"/>
        <v>0.94897051894335094</v>
      </c>
      <c r="BL6" s="23">
        <f t="shared" si="21"/>
        <v>0.81098137955745275</v>
      </c>
      <c r="BM6" s="43">
        <f t="shared" si="22"/>
        <v>0.75799596267267388</v>
      </c>
      <c r="BN6" s="100">
        <f t="shared" si="23"/>
        <v>5.0962734249055797E-11</v>
      </c>
      <c r="BO6" s="100">
        <f t="shared" si="24"/>
        <v>4.7412806787790497E-7</v>
      </c>
      <c r="BP6" s="100">
        <f t="shared" si="25"/>
        <v>1.0203981737686115E-7</v>
      </c>
      <c r="BQ6" s="100">
        <f t="shared" si="26"/>
        <v>8.3797522858064245E-7</v>
      </c>
      <c r="BR6" s="100">
        <f t="shared" si="27"/>
        <v>9.1348908835936091E-8</v>
      </c>
      <c r="BS6" s="100">
        <f t="shared" si="28"/>
        <v>1.7614768151459526E-7</v>
      </c>
      <c r="BT6" s="100">
        <f t="shared" si="29"/>
        <v>1.0688947176295524E-6</v>
      </c>
      <c r="BU6" s="100">
        <f t="shared" si="30"/>
        <v>1.6817919729107475E-8</v>
      </c>
      <c r="BV6" s="44">
        <f t="shared" si="31"/>
        <v>1.1239686970551052E-6</v>
      </c>
      <c r="BW6" s="100">
        <f t="shared" si="32"/>
        <v>1.7816571893469906E-8</v>
      </c>
      <c r="BX6" s="100">
        <f t="shared" si="33"/>
        <v>5.6421240077470694E-5</v>
      </c>
      <c r="BY6" s="100">
        <f t="shared" si="34"/>
        <v>1.0816220641947282E-5</v>
      </c>
      <c r="BZ6" s="100">
        <f t="shared" si="35"/>
        <v>4.198255895189019E-5</v>
      </c>
      <c r="CA6" s="100">
        <f t="shared" si="36"/>
        <v>6.7141447994413027E-6</v>
      </c>
      <c r="CB6" s="100">
        <f t="shared" si="37"/>
        <v>2.818362904233524E-5</v>
      </c>
      <c r="CC6" s="100">
        <f t="shared" si="38"/>
        <v>8.1556666955134841E-5</v>
      </c>
      <c r="CD6" s="100">
        <f t="shared" si="39"/>
        <v>1.2007994686582738E-6</v>
      </c>
      <c r="CE6" s="44">
        <f t="shared" si="40"/>
        <v>5.0016607018952183E-5</v>
      </c>
      <c r="CF6" s="138">
        <f t="shared" si="41"/>
        <v>22.689307650877129</v>
      </c>
      <c r="CG6" s="138">
        <f t="shared" si="42"/>
        <v>36.200000000000003</v>
      </c>
      <c r="CH6" s="24">
        <f t="shared" si="43"/>
        <v>13.510692349122873</v>
      </c>
      <c r="CI6" s="27">
        <f t="shared" si="44"/>
        <v>37.322354555588042</v>
      </c>
      <c r="CJ6" s="72"/>
      <c r="CK6" s="72"/>
      <c r="CL6" s="72"/>
      <c r="CM6" s="72"/>
      <c r="CN6" s="72"/>
      <c r="CO6" s="72"/>
      <c r="CP6" s="72"/>
      <c r="CQ6" s="72"/>
      <c r="CR6" s="72"/>
      <c r="CS6" s="47">
        <v>2.4</v>
      </c>
      <c r="CT6" s="48">
        <f t="shared" si="45"/>
        <v>3.9810717055349717E-3</v>
      </c>
      <c r="CU6" s="48">
        <v>3.1622776601683798E-2</v>
      </c>
      <c r="CV6" s="48">
        <f t="shared" si="46"/>
        <v>1.2589254117941672E-4</v>
      </c>
      <c r="CW6" s="48">
        <v>5.0118723362727197E-7</v>
      </c>
      <c r="CX6" s="48">
        <f t="shared" si="47"/>
        <v>1174.8975549395307</v>
      </c>
      <c r="CY6" s="48">
        <v>5.6234132519034893E-11</v>
      </c>
      <c r="CZ6" s="48">
        <f t="shared" si="48"/>
        <v>6.6069344800759641E-8</v>
      </c>
      <c r="DA6" s="97">
        <f t="shared" si="49"/>
        <v>1174.8975550716693</v>
      </c>
      <c r="DB6" s="106"/>
      <c r="DC6" s="47">
        <v>3.42</v>
      </c>
      <c r="DD6" s="48">
        <f t="shared" si="50"/>
        <v>3.8018939632056113E-4</v>
      </c>
      <c r="DE6" s="48">
        <v>3.1622776601683798E-2</v>
      </c>
      <c r="DF6" s="48">
        <f t="shared" si="51"/>
        <v>1.2022644346174128E-5</v>
      </c>
      <c r="DG6" s="48">
        <v>5.0118723362727197E-7</v>
      </c>
      <c r="DH6" s="48">
        <f t="shared" si="52"/>
        <v>112.20184543019644</v>
      </c>
      <c r="DI6" s="48">
        <v>5.6234132519034893E-11</v>
      </c>
      <c r="DJ6" s="48">
        <f t="shared" si="53"/>
        <v>6.3095734448019354E-9</v>
      </c>
      <c r="DK6" s="97">
        <f t="shared" si="54"/>
        <v>112.2018454428156</v>
      </c>
    </row>
    <row r="7" spans="1:115" ht="12.75" x14ac:dyDescent="0.2">
      <c r="A7" s="30">
        <v>4</v>
      </c>
      <c r="B7" s="141" t="s">
        <v>184</v>
      </c>
      <c r="C7" s="142" t="s">
        <v>22</v>
      </c>
      <c r="D7" s="40">
        <v>42674.496527777781</v>
      </c>
      <c r="E7" s="33">
        <v>1000</v>
      </c>
      <c r="F7" s="149" t="s">
        <v>170</v>
      </c>
      <c r="G7" s="149" t="s">
        <v>174</v>
      </c>
      <c r="H7" s="109"/>
      <c r="I7" s="321">
        <v>7.27</v>
      </c>
      <c r="J7" s="263">
        <v>852</v>
      </c>
      <c r="K7" s="264">
        <v>161.4</v>
      </c>
      <c r="L7" s="264">
        <v>22.2</v>
      </c>
      <c r="M7" s="320">
        <v>0.152</v>
      </c>
      <c r="N7" s="265">
        <v>1.7999999999999999E-2</v>
      </c>
      <c r="O7" s="269">
        <v>5.0000000000000001E-3</v>
      </c>
      <c r="P7" s="143">
        <v>8.85</v>
      </c>
      <c r="Q7" s="251">
        <f t="shared" si="0"/>
        <v>1.7175141242937852E-2</v>
      </c>
      <c r="R7" s="251">
        <f t="shared" si="1"/>
        <v>8.4444444444444446</v>
      </c>
      <c r="S7" s="34">
        <v>15.015000000000001</v>
      </c>
      <c r="T7" s="112">
        <v>2.5470000000000002</v>
      </c>
      <c r="U7" s="112">
        <v>7.319</v>
      </c>
      <c r="V7" s="112">
        <v>1.4990000000000001</v>
      </c>
      <c r="W7" s="148"/>
      <c r="X7" s="148">
        <v>36</v>
      </c>
      <c r="Y7" s="72">
        <v>39</v>
      </c>
      <c r="Z7" s="34"/>
      <c r="AA7" s="34"/>
      <c r="AB7" s="93"/>
      <c r="AC7" s="90"/>
      <c r="AD7" s="272">
        <v>13.633100000000001</v>
      </c>
      <c r="AE7" s="274">
        <v>1.3323</v>
      </c>
      <c r="AF7" s="274">
        <v>1.0569</v>
      </c>
      <c r="AG7" s="275">
        <v>12.3668</v>
      </c>
      <c r="AH7" s="276">
        <v>8.2600000000000007E-2</v>
      </c>
      <c r="AI7" s="271"/>
      <c r="AJ7" s="109">
        <v>50</v>
      </c>
      <c r="AK7" s="109">
        <v>30</v>
      </c>
      <c r="AL7" s="109">
        <v>17</v>
      </c>
      <c r="AN7" s="97">
        <f>AJ7-AK7</f>
        <v>20</v>
      </c>
      <c r="AO7" s="261">
        <f t="shared" si="2"/>
        <v>13</v>
      </c>
      <c r="AP7" s="123"/>
      <c r="AQ7" s="248">
        <f t="shared" si="3"/>
        <v>47.96273623461267</v>
      </c>
      <c r="AR7" s="248">
        <f t="shared" si="4"/>
        <v>31.915737978824918</v>
      </c>
      <c r="AS7" s="57"/>
      <c r="AT7" s="35"/>
      <c r="AU7" s="23">
        <f t="shared" si="5"/>
        <v>5.3703179637025193E-2</v>
      </c>
      <c r="AV7" s="25">
        <f t="shared" si="6"/>
        <v>749.28888667099159</v>
      </c>
      <c r="AW7" s="25">
        <f t="shared" si="7"/>
        <v>209.52615992102668</v>
      </c>
      <c r="AX7" s="25">
        <f t="shared" si="8"/>
        <v>318.35580687255333</v>
      </c>
      <c r="AY7" s="24">
        <f t="shared" si="9"/>
        <v>38.335635005882061</v>
      </c>
      <c r="AZ7" s="25">
        <f t="shared" si="10"/>
        <v>283.83369420386413</v>
      </c>
      <c r="BA7" s="24">
        <f t="shared" si="11"/>
        <v>21.486387761322568</v>
      </c>
      <c r="BB7" s="25">
        <f t="shared" si="12"/>
        <v>348.82238456548106</v>
      </c>
      <c r="BC7" s="23">
        <f t="shared" si="13"/>
        <v>4.3478260869565215</v>
      </c>
      <c r="BD7" s="23">
        <f t="shared" si="14"/>
        <v>1.646754924120116</v>
      </c>
      <c r="BE7" s="25">
        <f t="shared" si="15"/>
        <v>804.38670492384927</v>
      </c>
      <c r="BF7" s="249">
        <f t="shared" si="16"/>
        <v>47.96273623461267</v>
      </c>
      <c r="BG7" s="26"/>
      <c r="BH7" s="25">
        <f t="shared" si="17"/>
        <v>-196.92629705011564</v>
      </c>
      <c r="BI7" s="137">
        <f t="shared" si="18"/>
        <v>-6.9633326217134197</v>
      </c>
      <c r="BJ7" s="100">
        <f t="shared" si="19"/>
        <v>9.8702524213385755E-4</v>
      </c>
      <c r="BK7" s="23">
        <f t="shared" si="20"/>
        <v>0.9637787611197598</v>
      </c>
      <c r="BL7" s="23">
        <f t="shared" si="21"/>
        <v>0.86279854874648065</v>
      </c>
      <c r="BM7" s="43">
        <f t="shared" si="22"/>
        <v>0.8226975222912476</v>
      </c>
      <c r="BN7" s="100">
        <f t="shared" si="23"/>
        <v>5.1757983938764055E-11</v>
      </c>
      <c r="BO7" s="100">
        <f t="shared" si="24"/>
        <v>3.2324268200579891E-7</v>
      </c>
      <c r="BP7" s="100">
        <f t="shared" si="25"/>
        <v>9.0389433352142419E-8</v>
      </c>
      <c r="BQ7" s="100">
        <f t="shared" si="26"/>
        <v>3.0682456514291096E-7</v>
      </c>
      <c r="BR7" s="100">
        <f t="shared" si="27"/>
        <v>3.6947070812708316E-8</v>
      </c>
      <c r="BS7" s="100">
        <f t="shared" si="28"/>
        <v>1.2244564972222318E-7</v>
      </c>
      <c r="BT7" s="100">
        <f t="shared" si="29"/>
        <v>3.361876056473598E-7</v>
      </c>
      <c r="BU7" s="100">
        <f t="shared" si="30"/>
        <v>2.0708124177546238E-8</v>
      </c>
      <c r="BV7" s="44">
        <f t="shared" si="31"/>
        <v>7.7525082193271332E-7</v>
      </c>
      <c r="BW7" s="100">
        <f t="shared" si="32"/>
        <v>1.8094591184991916E-8</v>
      </c>
      <c r="BX7" s="100">
        <f t="shared" si="33"/>
        <v>3.8465879158690067E-5</v>
      </c>
      <c r="BY7" s="100">
        <f t="shared" si="34"/>
        <v>9.581279935327096E-6</v>
      </c>
      <c r="BZ7" s="100">
        <f t="shared" si="35"/>
        <v>1.5371910713659839E-5</v>
      </c>
      <c r="CA7" s="100">
        <f t="shared" si="36"/>
        <v>2.7156097047340611E-6</v>
      </c>
      <c r="CB7" s="100">
        <f t="shared" si="37"/>
        <v>1.9591303955555708E-5</v>
      </c>
      <c r="CC7" s="100">
        <f t="shared" si="38"/>
        <v>2.5651114310893551E-5</v>
      </c>
      <c r="CD7" s="100">
        <f t="shared" si="39"/>
        <v>1.4785600662768016E-6</v>
      </c>
      <c r="CE7" s="44">
        <f t="shared" si="40"/>
        <v>3.4498661576005744E-5</v>
      </c>
      <c r="CF7" s="138">
        <f t="shared" si="41"/>
        <v>11.287375243632212</v>
      </c>
      <c r="CG7" s="138">
        <f t="shared" si="42"/>
        <v>16.14</v>
      </c>
      <c r="CH7" s="24">
        <f t="shared" si="43"/>
        <v>4.8526247563677885</v>
      </c>
      <c r="CI7" s="27">
        <f t="shared" si="44"/>
        <v>30.065828725946645</v>
      </c>
      <c r="CJ7" s="72"/>
      <c r="CS7" s="47">
        <v>2.79</v>
      </c>
      <c r="CT7" s="48">
        <f t="shared" si="45"/>
        <v>1.6218100973589284E-3</v>
      </c>
      <c r="CU7" s="48">
        <v>3.1622776601683798E-2</v>
      </c>
      <c r="CV7" s="48">
        <f t="shared" si="46"/>
        <v>5.1286138399136447E-5</v>
      </c>
      <c r="CW7" s="48">
        <v>5.0118723362727197E-7</v>
      </c>
      <c r="CX7" s="48">
        <f t="shared" si="47"/>
        <v>478.6300923226384</v>
      </c>
      <c r="CY7" s="48">
        <v>5.6234132519034893E-11</v>
      </c>
      <c r="CZ7" s="48">
        <f t="shared" si="48"/>
        <v>2.6915348039269154E-8</v>
      </c>
      <c r="DA7" s="97">
        <f t="shared" si="49"/>
        <v>478.63009237646912</v>
      </c>
      <c r="DB7" s="106"/>
      <c r="DC7" s="47">
        <v>3.42</v>
      </c>
      <c r="DD7" s="48">
        <f t="shared" si="50"/>
        <v>3.8018939632056113E-4</v>
      </c>
      <c r="DE7" s="48">
        <v>3.1622776601683798E-2</v>
      </c>
      <c r="DF7" s="48">
        <f t="shared" si="51"/>
        <v>1.2022644346174128E-5</v>
      </c>
      <c r="DG7" s="48">
        <v>5.0118723362727197E-7</v>
      </c>
      <c r="DH7" s="48">
        <f t="shared" si="52"/>
        <v>112.20184543019644</v>
      </c>
      <c r="DI7" s="48">
        <v>5.6234132519034893E-11</v>
      </c>
      <c r="DJ7" s="48">
        <f t="shared" si="53"/>
        <v>6.3095734448019354E-9</v>
      </c>
      <c r="DK7" s="97">
        <f t="shared" si="54"/>
        <v>112.2018454428156</v>
      </c>
    </row>
    <row r="8" spans="1:115" ht="12.75" x14ac:dyDescent="0.2">
      <c r="A8" s="30">
        <v>5</v>
      </c>
      <c r="B8" s="141" t="s">
        <v>104</v>
      </c>
      <c r="C8" s="142" t="s">
        <v>22</v>
      </c>
      <c r="D8" s="40">
        <v>42674.572916666664</v>
      </c>
      <c r="E8" s="33">
        <v>1000</v>
      </c>
      <c r="F8" s="149" t="s">
        <v>172</v>
      </c>
      <c r="G8" s="149" t="s">
        <v>176</v>
      </c>
      <c r="H8" s="109"/>
      <c r="I8" s="321">
        <v>7.55</v>
      </c>
      <c r="J8" s="263">
        <v>1130</v>
      </c>
      <c r="K8" s="267">
        <v>268</v>
      </c>
      <c r="L8" s="264">
        <v>22</v>
      </c>
      <c r="M8" s="320">
        <v>0.20799999999999999</v>
      </c>
      <c r="N8" s="265">
        <v>2.1000000000000001E-2</v>
      </c>
      <c r="O8" s="269">
        <v>5.0000000000000001E-3</v>
      </c>
      <c r="P8" s="143">
        <v>6.0659999999999998</v>
      </c>
      <c r="Q8" s="251">
        <f t="shared" si="0"/>
        <v>3.4289482360698981E-2</v>
      </c>
      <c r="R8" s="251">
        <f t="shared" si="1"/>
        <v>9.9047619047619033</v>
      </c>
      <c r="S8" s="34">
        <v>20.542000000000002</v>
      </c>
      <c r="T8" s="112">
        <v>4.3780000000000001</v>
      </c>
      <c r="U8" s="34">
        <v>14.331</v>
      </c>
      <c r="V8" s="112">
        <v>3.2149999999999999</v>
      </c>
      <c r="W8" s="259"/>
      <c r="X8" s="148"/>
      <c r="Y8" s="72">
        <v>13</v>
      </c>
      <c r="Z8" s="34"/>
      <c r="AA8" s="34"/>
      <c r="AB8" s="93"/>
      <c r="AC8" s="90"/>
      <c r="AD8" s="272">
        <v>14.376799999999999</v>
      </c>
      <c r="AE8" s="274">
        <v>5.8019999999999996</v>
      </c>
      <c r="AF8" s="274">
        <v>1.1394</v>
      </c>
      <c r="AG8" s="275">
        <v>30.8323</v>
      </c>
      <c r="AH8" s="276">
        <v>0.27639999999999998</v>
      </c>
      <c r="AI8" s="271"/>
      <c r="AJ8" s="109">
        <v>30</v>
      </c>
      <c r="AK8" s="109">
        <v>20</v>
      </c>
      <c r="AL8" s="109">
        <v>13</v>
      </c>
      <c r="AN8" s="97">
        <f>AJ8-AK8</f>
        <v>10</v>
      </c>
      <c r="AO8" s="76">
        <f t="shared" si="2"/>
        <v>7</v>
      </c>
      <c r="AP8" s="123"/>
      <c r="AQ8" s="248">
        <f t="shared" si="3"/>
        <v>33.046027373677809</v>
      </c>
      <c r="AR8" s="248">
        <f t="shared" si="4"/>
        <v>21.87580413328271</v>
      </c>
      <c r="AS8" s="57"/>
      <c r="AT8" s="35"/>
      <c r="AU8" s="23">
        <f t="shared" si="5"/>
        <v>2.8183829312644466E-2</v>
      </c>
      <c r="AV8" s="25">
        <f t="shared" si="6"/>
        <v>1025.101052946754</v>
      </c>
      <c r="AW8" s="25">
        <f t="shared" si="7"/>
        <v>360.15136558078314</v>
      </c>
      <c r="AX8" s="25">
        <f t="shared" si="8"/>
        <v>623.35798173118746</v>
      </c>
      <c r="AY8" s="24">
        <f t="shared" si="9"/>
        <v>82.220858268119287</v>
      </c>
      <c r="AZ8" s="25">
        <f t="shared" si="10"/>
        <v>299.31712191872083</v>
      </c>
      <c r="BA8" s="24">
        <f t="shared" si="11"/>
        <v>93.570533506862958</v>
      </c>
      <c r="BB8" s="25">
        <f t="shared" si="12"/>
        <v>869.66688291540902</v>
      </c>
      <c r="BC8" s="24">
        <f t="shared" si="13"/>
        <v>14.548899884198335</v>
      </c>
      <c r="BD8" s="23">
        <f t="shared" si="14"/>
        <v>1.2592831772683242</v>
      </c>
      <c r="BE8" s="25">
        <f t="shared" si="15"/>
        <v>1087.2379605889178</v>
      </c>
      <c r="BF8" s="249">
        <f t="shared" si="16"/>
        <v>33.046027373677809</v>
      </c>
      <c r="BG8" s="26"/>
      <c r="BH8" s="25">
        <f t="shared" si="17"/>
        <v>-307.78726700889865</v>
      </c>
      <c r="BI8" s="137">
        <f t="shared" si="18"/>
        <v>-6.8557043159612894</v>
      </c>
      <c r="BJ8" s="100">
        <f t="shared" si="19"/>
        <v>1.6839814402906735E-3</v>
      </c>
      <c r="BK8" s="23">
        <f t="shared" si="20"/>
        <v>0.95295296381899675</v>
      </c>
      <c r="BL8" s="23">
        <f t="shared" si="21"/>
        <v>0.82468075611728187</v>
      </c>
      <c r="BM8" s="43">
        <f t="shared" si="22"/>
        <v>0.77497563821410331</v>
      </c>
      <c r="BN8" s="100">
        <f t="shared" si="23"/>
        <v>2.6857863675253263E-11</v>
      </c>
      <c r="BO8" s="100">
        <f t="shared" si="24"/>
        <v>4.2269055572037546E-7</v>
      </c>
      <c r="BP8" s="100">
        <f t="shared" si="25"/>
        <v>1.4850495024191591E-7</v>
      </c>
      <c r="BQ8" s="100">
        <f t="shared" si="26"/>
        <v>5.9403083621096319E-7</v>
      </c>
      <c r="BR8" s="100">
        <f t="shared" si="27"/>
        <v>7.8352610574345938E-8</v>
      </c>
      <c r="BS8" s="100">
        <f t="shared" si="28"/>
        <v>1.2342053521138968E-7</v>
      </c>
      <c r="BT8" s="100">
        <f t="shared" si="29"/>
        <v>8.2875163360946752E-7</v>
      </c>
      <c r="BU8" s="100">
        <f t="shared" si="30"/>
        <v>8.9168317231489796E-8</v>
      </c>
      <c r="BV8" s="44">
        <f t="shared" si="31"/>
        <v>1.036086636919731E-6</v>
      </c>
      <c r="BW8" s="100">
        <f t="shared" si="32"/>
        <v>9.3895091408685414E-9</v>
      </c>
      <c r="BX8" s="100">
        <f t="shared" si="33"/>
        <v>5.0300176130724679E-5</v>
      </c>
      <c r="BY8" s="100">
        <f t="shared" si="34"/>
        <v>1.5741524725643088E-5</v>
      </c>
      <c r="BZ8" s="100">
        <f t="shared" si="35"/>
        <v>2.9760944894169255E-5</v>
      </c>
      <c r="CA8" s="100">
        <f t="shared" si="36"/>
        <v>5.7589168772144266E-6</v>
      </c>
      <c r="CB8" s="100">
        <f t="shared" si="37"/>
        <v>1.9747285633822349E-5</v>
      </c>
      <c r="CC8" s="100">
        <f t="shared" si="38"/>
        <v>6.3233749644402376E-5</v>
      </c>
      <c r="CD8" s="100">
        <f t="shared" si="39"/>
        <v>6.3666178503283721E-6</v>
      </c>
      <c r="CE8" s="44">
        <f t="shared" si="40"/>
        <v>4.610585534292803E-5</v>
      </c>
      <c r="CF8" s="138">
        <f t="shared" si="41"/>
        <v>19.091860526544544</v>
      </c>
      <c r="CG8" s="138">
        <f t="shared" si="42"/>
        <v>26.8</v>
      </c>
      <c r="CH8" s="24">
        <f t="shared" si="43"/>
        <v>7.7081394734554571</v>
      </c>
      <c r="CI8" s="27">
        <f t="shared" si="44"/>
        <v>28.761714453192003</v>
      </c>
      <c r="CJ8" s="72"/>
      <c r="CK8" s="72"/>
      <c r="CL8" s="72"/>
      <c r="CM8" s="72"/>
      <c r="CN8" s="72"/>
      <c r="CO8" s="72"/>
      <c r="CP8" s="72"/>
      <c r="CQ8" s="72"/>
      <c r="CR8" s="72"/>
      <c r="CS8" s="47">
        <v>3.15</v>
      </c>
      <c r="CT8" s="48">
        <f t="shared" si="45"/>
        <v>7.079457843841378E-4</v>
      </c>
      <c r="CU8" s="48">
        <v>3.1622776601683798E-2</v>
      </c>
      <c r="CV8" s="48">
        <f t="shared" si="46"/>
        <v>2.2387211385683396E-5</v>
      </c>
      <c r="CW8" s="48">
        <v>5.0118723362727197E-7</v>
      </c>
      <c r="CX8" s="48">
        <f t="shared" si="47"/>
        <v>398.10717055349801</v>
      </c>
      <c r="CY8" s="48">
        <v>5.6234132519034893E-11</v>
      </c>
      <c r="CZ8" s="48">
        <f t="shared" si="48"/>
        <v>2.2387211385683431E-8</v>
      </c>
      <c r="DA8" s="97">
        <f t="shared" si="49"/>
        <v>398.10717059827243</v>
      </c>
      <c r="DB8" s="106"/>
      <c r="DC8" s="47">
        <v>3.42</v>
      </c>
      <c r="DD8" s="48">
        <f t="shared" si="50"/>
        <v>3.8018939632056113E-4</v>
      </c>
      <c r="DE8" s="48">
        <v>3.1622776601683798E-2</v>
      </c>
      <c r="DF8" s="48">
        <f t="shared" si="51"/>
        <v>1.2022644346174128E-5</v>
      </c>
      <c r="DG8" s="48">
        <v>5.0118723362727197E-7</v>
      </c>
      <c r="DH8" s="48">
        <f t="shared" si="52"/>
        <v>213.79620895022359</v>
      </c>
      <c r="DI8" s="48">
        <v>5.6234132519034893E-11</v>
      </c>
      <c r="DJ8" s="48">
        <f t="shared" si="53"/>
        <v>1.2022644346174147E-8</v>
      </c>
      <c r="DK8" s="97">
        <f t="shared" si="54"/>
        <v>213.79620897426886</v>
      </c>
    </row>
    <row r="9" spans="1:115" ht="12.75" x14ac:dyDescent="0.2">
      <c r="A9" s="30">
        <v>2</v>
      </c>
      <c r="B9" s="229" t="s">
        <v>110</v>
      </c>
      <c r="C9" s="28" t="s">
        <v>0</v>
      </c>
      <c r="D9" s="40">
        <v>42674.451388888891</v>
      </c>
      <c r="E9" s="230">
        <v>1000</v>
      </c>
      <c r="F9" s="231" t="s">
        <v>180</v>
      </c>
      <c r="G9" s="319" t="s">
        <v>181</v>
      </c>
      <c r="H9" s="28"/>
      <c r="I9" s="321">
        <v>6.87</v>
      </c>
      <c r="J9" s="266">
        <v>132</v>
      </c>
      <c r="K9" s="264">
        <v>25</v>
      </c>
      <c r="L9" s="267">
        <v>22.6</v>
      </c>
      <c r="M9" s="268">
        <v>0.17599999999999999</v>
      </c>
      <c r="N9" s="268">
        <v>2.1999999999999999E-2</v>
      </c>
      <c r="O9" s="269">
        <v>7.0000000000000001E-3</v>
      </c>
      <c r="P9" s="232">
        <v>4.4169999999999998</v>
      </c>
      <c r="Q9" s="251">
        <f t="shared" si="0"/>
        <v>3.9846049354765677E-2</v>
      </c>
      <c r="R9" s="251">
        <f t="shared" si="1"/>
        <v>8</v>
      </c>
      <c r="S9" s="252">
        <v>2.1480000000000001</v>
      </c>
      <c r="T9" s="252">
        <v>1.6890000000000001</v>
      </c>
      <c r="U9" s="252">
        <v>1.4219999999999999</v>
      </c>
      <c r="V9" s="252">
        <v>0.44600000000000001</v>
      </c>
      <c r="W9" s="258"/>
      <c r="X9" s="258"/>
      <c r="Y9" s="254">
        <v>14</v>
      </c>
      <c r="Z9" s="234"/>
      <c r="AA9" s="234"/>
      <c r="AB9" s="235"/>
      <c r="AC9" s="236"/>
      <c r="AD9" s="274">
        <v>1.8542000000000001</v>
      </c>
      <c r="AE9" s="274">
        <v>0.625</v>
      </c>
      <c r="AF9" s="274">
        <v>6.2799999999999995E-2</v>
      </c>
      <c r="AG9" s="275">
        <v>1.8443000000000001</v>
      </c>
      <c r="AH9" s="276">
        <v>4.8899999999999999E-2</v>
      </c>
      <c r="AI9" s="275">
        <v>1.2361</v>
      </c>
      <c r="AJ9" s="28">
        <v>10</v>
      </c>
      <c r="AK9" s="28">
        <v>12</v>
      </c>
      <c r="AL9" s="28">
        <v>10</v>
      </c>
      <c r="AM9" s="237"/>
      <c r="AN9" s="260">
        <v>0</v>
      </c>
      <c r="AO9" s="76">
        <f t="shared" si="2"/>
        <v>2</v>
      </c>
      <c r="AP9" s="123"/>
      <c r="AQ9" s="248">
        <f t="shared" si="3"/>
        <v>23.653447858664666</v>
      </c>
      <c r="AR9" s="248">
        <f t="shared" si="4"/>
        <v>15.929018604798832</v>
      </c>
      <c r="AS9" s="133"/>
      <c r="AT9" s="240"/>
      <c r="AU9" s="241">
        <f t="shared" si="5"/>
        <v>0.13489628825916511</v>
      </c>
      <c r="AV9" s="242">
        <f t="shared" si="6"/>
        <v>107.1909775936923</v>
      </c>
      <c r="AW9" s="242">
        <f t="shared" si="7"/>
        <v>138.94373149062193</v>
      </c>
      <c r="AX9" s="138">
        <f t="shared" si="8"/>
        <v>61.85297955632884</v>
      </c>
      <c r="AY9" s="138">
        <f t="shared" si="9"/>
        <v>11.406066185872847</v>
      </c>
      <c r="AZ9" s="138">
        <f t="shared" si="10"/>
        <v>38.603431045969359</v>
      </c>
      <c r="BA9" s="138">
        <f t="shared" si="11"/>
        <v>10.079555918957146</v>
      </c>
      <c r="BB9" s="138">
        <f t="shared" si="12"/>
        <v>52.020985530138489</v>
      </c>
      <c r="BC9" s="241">
        <f t="shared" si="13"/>
        <v>2.5739551531740181</v>
      </c>
      <c r="BD9" s="241">
        <f t="shared" si="14"/>
        <v>0.96867936712948011</v>
      </c>
      <c r="BE9" s="242">
        <f t="shared" si="15"/>
        <v>92.79046703439333</v>
      </c>
      <c r="BF9" s="250">
        <f t="shared" si="16"/>
        <v>23.653447858664666</v>
      </c>
      <c r="BG9" s="243"/>
      <c r="BH9" s="242">
        <f t="shared" si="17"/>
        <v>98.838129206348583</v>
      </c>
      <c r="BI9" s="228">
        <f t="shared" si="18"/>
        <v>18.295931381558653</v>
      </c>
      <c r="BJ9" s="244">
        <f t="shared" si="19"/>
        <v>2.1140328938150702E-4</v>
      </c>
      <c r="BK9" s="241">
        <f t="shared" si="20"/>
        <v>0.98307068509914941</v>
      </c>
      <c r="BL9" s="241">
        <f t="shared" si="21"/>
        <v>0.93398302487328122</v>
      </c>
      <c r="BM9" s="245">
        <f t="shared" si="22"/>
        <v>0.91363621306807963</v>
      </c>
      <c r="BN9" s="244">
        <f t="shared" si="23"/>
        <v>1.3261258651626979E-10</v>
      </c>
      <c r="BO9" s="244">
        <f t="shared" si="24"/>
        <v>5.0057276746040426E-8</v>
      </c>
      <c r="BP9" s="244">
        <f t="shared" si="25"/>
        <v>6.4885543312396034E-8</v>
      </c>
      <c r="BQ9" s="244">
        <f t="shared" si="26"/>
        <v>6.0805850987863881E-8</v>
      </c>
      <c r="BR9" s="244">
        <f t="shared" si="27"/>
        <v>1.1212969299632261E-8</v>
      </c>
      <c r="BS9" s="244">
        <f t="shared" si="28"/>
        <v>1.80274746494008E-8</v>
      </c>
      <c r="BT9" s="244">
        <f t="shared" si="29"/>
        <v>5.1140305884646188E-8</v>
      </c>
      <c r="BU9" s="244">
        <f t="shared" si="30"/>
        <v>9.9089159427443887E-9</v>
      </c>
      <c r="BV9" s="44">
        <f t="shared" si="31"/>
        <v>9.1219587998171104E-8</v>
      </c>
      <c r="BW9" s="244">
        <f t="shared" si="32"/>
        <v>4.6361360246087923E-8</v>
      </c>
      <c r="BX9" s="244">
        <f t="shared" si="33"/>
        <v>5.9568159327788104E-6</v>
      </c>
      <c r="BY9" s="244">
        <f t="shared" si="34"/>
        <v>6.8778675911139798E-6</v>
      </c>
      <c r="BZ9" s="244">
        <f t="shared" si="35"/>
        <v>3.0463731344919804E-6</v>
      </c>
      <c r="CA9" s="244">
        <f t="shared" si="36"/>
        <v>8.2415324352297126E-7</v>
      </c>
      <c r="CB9" s="244">
        <f t="shared" si="37"/>
        <v>2.8843959439041281E-6</v>
      </c>
      <c r="CC9" s="244">
        <f t="shared" si="38"/>
        <v>3.9020053389985042E-6</v>
      </c>
      <c r="CD9" s="244">
        <f t="shared" si="39"/>
        <v>7.0749659831194937E-7</v>
      </c>
      <c r="CE9" s="246">
        <f t="shared" si="40"/>
        <v>4.0592716659186143E-6</v>
      </c>
      <c r="CF9" s="138">
        <f t="shared" si="41"/>
        <v>2.4245469143368412</v>
      </c>
      <c r="CG9" s="138">
        <f t="shared" si="42"/>
        <v>2.5</v>
      </c>
      <c r="CH9" s="138">
        <f t="shared" si="43"/>
        <v>7.5453085663158781E-2</v>
      </c>
      <c r="CI9" s="227">
        <f t="shared" si="44"/>
        <v>3.0181234265263512</v>
      </c>
      <c r="CJ9" s="233"/>
      <c r="CK9" s="233"/>
      <c r="CL9" s="233"/>
      <c r="CM9" s="233"/>
      <c r="CN9" s="233"/>
      <c r="CO9" s="233"/>
      <c r="CP9" s="233"/>
      <c r="CQ9" s="233"/>
      <c r="CR9" s="233"/>
      <c r="CS9" s="226">
        <v>2.8149999999999999</v>
      </c>
      <c r="CT9" s="238">
        <f t="shared" si="45"/>
        <v>1.5310874616820292E-3</v>
      </c>
      <c r="CU9" s="238">
        <v>3.1622776601683798E-2</v>
      </c>
      <c r="CV9" s="238">
        <f t="shared" si="46"/>
        <v>4.8417236758409909E-5</v>
      </c>
      <c r="CW9" s="238">
        <v>5.0118723362727197E-7</v>
      </c>
      <c r="CX9" s="238">
        <f t="shared" si="47"/>
        <v>179.88709151287892</v>
      </c>
      <c r="CY9" s="238">
        <v>5.6234132519034893E-11</v>
      </c>
      <c r="CZ9" s="238">
        <f t="shared" si="48"/>
        <v>1.0115794542598988E-8</v>
      </c>
      <c r="DA9" s="239">
        <f t="shared" si="49"/>
        <v>179.88709153311052</v>
      </c>
      <c r="DB9" s="106"/>
      <c r="DC9" s="47">
        <v>3.42</v>
      </c>
      <c r="DD9" s="238">
        <f t="shared" si="50"/>
        <v>3.8018939632056113E-4</v>
      </c>
      <c r="DE9" s="238">
        <v>3.1622776601683798E-2</v>
      </c>
      <c r="DF9" s="238">
        <f t="shared" si="51"/>
        <v>1.2022644346174128E-5</v>
      </c>
      <c r="DG9" s="238">
        <v>5.0118723362727197E-7</v>
      </c>
      <c r="DH9" s="48">
        <f t="shared" si="52"/>
        <v>44.668359215096366</v>
      </c>
      <c r="DI9" s="238">
        <v>5.6234132519034893E-11</v>
      </c>
      <c r="DJ9" s="48">
        <f t="shared" si="53"/>
        <v>2.511886431509582E-9</v>
      </c>
      <c r="DK9" s="239">
        <f t="shared" si="54"/>
        <v>44.668359220120138</v>
      </c>
    </row>
    <row r="10" spans="1:115" ht="12.75" x14ac:dyDescent="0.2">
      <c r="A10" s="30">
        <v>3</v>
      </c>
      <c r="B10" s="141" t="s">
        <v>103</v>
      </c>
      <c r="C10" s="142" t="s">
        <v>0</v>
      </c>
      <c r="D10" s="40">
        <v>42674.604861111111</v>
      </c>
      <c r="E10" s="33">
        <v>1000</v>
      </c>
      <c r="F10" s="149" t="s">
        <v>182</v>
      </c>
      <c r="G10" s="149" t="s">
        <v>183</v>
      </c>
      <c r="H10" s="109"/>
      <c r="I10" s="321">
        <v>7.2</v>
      </c>
      <c r="J10" s="263">
        <v>214</v>
      </c>
      <c r="K10" s="264">
        <v>51.3</v>
      </c>
      <c r="L10" s="264">
        <v>22.2</v>
      </c>
      <c r="M10" s="320">
        <v>0.17</v>
      </c>
      <c r="N10" s="265">
        <v>2.4E-2</v>
      </c>
      <c r="O10" s="262">
        <v>8.0000000000000002E-3</v>
      </c>
      <c r="P10" s="143">
        <v>4.13</v>
      </c>
      <c r="Q10" s="251">
        <f t="shared" si="0"/>
        <v>4.1162227602905575E-2</v>
      </c>
      <c r="R10" s="251">
        <f t="shared" si="1"/>
        <v>7.0833333333333339</v>
      </c>
      <c r="S10" s="112">
        <v>3.6379999999999999</v>
      </c>
      <c r="T10" s="112">
        <v>0.94399999999999995</v>
      </c>
      <c r="U10" s="112">
        <v>3.1179999999999999</v>
      </c>
      <c r="V10" s="112">
        <v>0.59299999999999997</v>
      </c>
      <c r="W10" s="148"/>
      <c r="X10" s="148"/>
      <c r="Y10" s="72">
        <v>13</v>
      </c>
      <c r="Z10" s="34"/>
      <c r="AA10" s="34"/>
      <c r="AB10" s="93"/>
      <c r="AC10" s="90"/>
      <c r="AD10" s="274">
        <v>3.4155000000000002</v>
      </c>
      <c r="AE10" s="274">
        <v>0.63519999999999999</v>
      </c>
      <c r="AF10" s="274">
        <v>0.1051</v>
      </c>
      <c r="AG10" s="275">
        <v>5.9210000000000003</v>
      </c>
      <c r="AH10" s="276">
        <v>5.79E-2</v>
      </c>
      <c r="AI10" s="271"/>
      <c r="AJ10" s="109">
        <v>12</v>
      </c>
      <c r="AK10" s="109">
        <v>8</v>
      </c>
      <c r="AL10" s="109">
        <v>8</v>
      </c>
      <c r="AN10" s="97">
        <f>AJ10-AK10</f>
        <v>4</v>
      </c>
      <c r="AO10" s="76">
        <f t="shared" si="2"/>
        <v>0</v>
      </c>
      <c r="AP10" s="123"/>
      <c r="AQ10" s="248">
        <f t="shared" si="3"/>
        <v>22.34565427618988</v>
      </c>
      <c r="AR10" s="248">
        <f t="shared" si="4"/>
        <v>14.894011056784963</v>
      </c>
      <c r="AS10" s="57"/>
      <c r="AT10" s="35"/>
      <c r="AU10" s="23">
        <f t="shared" si="5"/>
        <v>6.3095734448019178E-2</v>
      </c>
      <c r="AV10" s="25">
        <f t="shared" si="6"/>
        <v>181.54598532860919</v>
      </c>
      <c r="AW10" s="24">
        <f t="shared" si="7"/>
        <v>77.65712405396512</v>
      </c>
      <c r="AX10" s="25">
        <f t="shared" si="8"/>
        <v>135.6241844280122</v>
      </c>
      <c r="AY10" s="24">
        <f t="shared" si="9"/>
        <v>15.165464682113447</v>
      </c>
      <c r="AZ10" s="24">
        <f t="shared" si="10"/>
        <v>71.108844103930721</v>
      </c>
      <c r="BA10" s="24">
        <f t="shared" si="11"/>
        <v>10.244054271554525</v>
      </c>
      <c r="BB10" s="25">
        <f t="shared" si="12"/>
        <v>167.00984401884185</v>
      </c>
      <c r="BC10" s="23">
        <f t="shared" si="13"/>
        <v>3.0476892304453096</v>
      </c>
      <c r="BD10" s="23">
        <f t="shared" si="14"/>
        <v>0.77494349370358417</v>
      </c>
      <c r="BE10" s="25">
        <f t="shared" si="15"/>
        <v>174.99145251504308</v>
      </c>
      <c r="BF10" s="249">
        <f t="shared" si="16"/>
        <v>22.34565427618988</v>
      </c>
      <c r="BG10" s="26"/>
      <c r="BH10" s="25">
        <f t="shared" si="17"/>
        <v>-39.466627682560954</v>
      </c>
      <c r="BI10" s="137">
        <f t="shared" si="18"/>
        <v>-4.5913939455399806</v>
      </c>
      <c r="BJ10" s="100">
        <f t="shared" si="19"/>
        <v>3.3073314292596018E-4</v>
      </c>
      <c r="BK10" s="23">
        <f t="shared" si="20"/>
        <v>0.97887019305493561</v>
      </c>
      <c r="BL10" s="23">
        <f t="shared" si="21"/>
        <v>0.91812204881003134</v>
      </c>
      <c r="BM10" s="43">
        <f t="shared" si="22"/>
        <v>0.89317344320843017</v>
      </c>
      <c r="BN10" s="100">
        <f t="shared" si="23"/>
        <v>6.1762533760075492E-11</v>
      </c>
      <c r="BO10" s="100">
        <f t="shared" si="24"/>
        <v>8.3340686001569291E-8</v>
      </c>
      <c r="BP10" s="100">
        <f t="shared" si="25"/>
        <v>3.5649358920560614E-8</v>
      </c>
      <c r="BQ10" s="100">
        <f t="shared" si="26"/>
        <v>1.3275847159396652E-7</v>
      </c>
      <c r="BR10" s="100">
        <f t="shared" si="27"/>
        <v>1.4845021341148197E-8</v>
      </c>
      <c r="BS10" s="100">
        <f t="shared" si="28"/>
        <v>3.2643298818606997E-8</v>
      </c>
      <c r="BT10" s="100">
        <f t="shared" si="29"/>
        <v>1.6348095825679841E-7</v>
      </c>
      <c r="BU10" s="100">
        <f t="shared" si="30"/>
        <v>1.0027599382461816E-8</v>
      </c>
      <c r="BV10" s="44">
        <f t="shared" si="31"/>
        <v>1.7129391690636383E-7</v>
      </c>
      <c r="BW10" s="100">
        <f t="shared" si="32"/>
        <v>2.1592181802522392E-8</v>
      </c>
      <c r="BX10" s="100">
        <f t="shared" si="33"/>
        <v>9.9175416341867457E-6</v>
      </c>
      <c r="BY10" s="100">
        <f t="shared" si="34"/>
        <v>3.778832045579425E-6</v>
      </c>
      <c r="BZ10" s="100">
        <f t="shared" si="35"/>
        <v>6.6511994268577227E-6</v>
      </c>
      <c r="CA10" s="100">
        <f t="shared" si="36"/>
        <v>1.0911090685743924E-6</v>
      </c>
      <c r="CB10" s="100">
        <f t="shared" si="37"/>
        <v>5.2229278109771197E-6</v>
      </c>
      <c r="CC10" s="100">
        <f t="shared" si="38"/>
        <v>1.2473597114993719E-5</v>
      </c>
      <c r="CD10" s="100">
        <f t="shared" si="39"/>
        <v>7.1597059590777375E-7</v>
      </c>
      <c r="CE10" s="44">
        <f t="shared" si="40"/>
        <v>7.6225793023331907E-6</v>
      </c>
      <c r="CF10" s="24">
        <f t="shared" si="41"/>
        <v>3.9872769878879417</v>
      </c>
      <c r="CG10" s="24">
        <f t="shared" si="42"/>
        <v>5.13</v>
      </c>
      <c r="CH10" s="24">
        <f t="shared" si="43"/>
        <v>1.1427230121120582</v>
      </c>
      <c r="CI10" s="27">
        <f t="shared" si="44"/>
        <v>22.275302380352009</v>
      </c>
      <c r="CS10" s="47">
        <v>2.5299999999999998</v>
      </c>
      <c r="CT10" s="48">
        <f t="shared" si="45"/>
        <v>2.9512092266663864E-3</v>
      </c>
      <c r="CU10" s="48">
        <v>3.1622776601683798E-2</v>
      </c>
      <c r="CV10" s="48">
        <f t="shared" si="46"/>
        <v>9.3325430079699141E-5</v>
      </c>
      <c r="CW10" s="48">
        <v>5.0118723362727197E-7</v>
      </c>
      <c r="CX10" s="48">
        <f t="shared" si="47"/>
        <v>741.31024130091907</v>
      </c>
      <c r="CY10" s="48">
        <v>5.6234132519034893E-11</v>
      </c>
      <c r="CZ10" s="48">
        <f t="shared" si="48"/>
        <v>4.1686938347033615E-8</v>
      </c>
      <c r="DA10" s="97">
        <f t="shared" si="49"/>
        <v>741.31024138429291</v>
      </c>
      <c r="DB10" s="106"/>
      <c r="DC10" s="47">
        <v>3.42</v>
      </c>
      <c r="DD10" s="48">
        <f t="shared" si="50"/>
        <v>3.8018939632056113E-4</v>
      </c>
      <c r="DE10" s="48">
        <v>3.1622776601683798E-2</v>
      </c>
      <c r="DF10" s="48">
        <f t="shared" si="51"/>
        <v>1.2022644346174128E-5</v>
      </c>
      <c r="DG10" s="48">
        <v>5.0118723362727197E-7</v>
      </c>
      <c r="DH10" s="48">
        <f t="shared" si="52"/>
        <v>95.49925860214374</v>
      </c>
      <c r="DI10" s="48">
        <v>5.6234132519034893E-11</v>
      </c>
      <c r="DJ10" s="48">
        <f t="shared" si="53"/>
        <v>5.3703179637025338E-9</v>
      </c>
      <c r="DK10" s="97">
        <f t="shared" si="54"/>
        <v>95.499258612884375</v>
      </c>
    </row>
    <row r="11" spans="1:115" ht="12.75" x14ac:dyDescent="0.2">
      <c r="A11" s="30">
        <v>8</v>
      </c>
      <c r="B11" s="141" t="s">
        <v>105</v>
      </c>
      <c r="C11" s="142" t="s">
        <v>22</v>
      </c>
      <c r="D11" s="40">
        <v>42674.561111111114</v>
      </c>
      <c r="E11" s="33">
        <v>1000</v>
      </c>
      <c r="F11" s="149" t="s">
        <v>171</v>
      </c>
      <c r="G11" s="149" t="s">
        <v>175</v>
      </c>
      <c r="H11" s="109"/>
      <c r="I11" s="321">
        <v>7.45</v>
      </c>
      <c r="J11" s="263">
        <v>937</v>
      </c>
      <c r="K11" s="264">
        <v>267</v>
      </c>
      <c r="L11" s="264">
        <v>22.1</v>
      </c>
      <c r="M11" s="320">
        <v>0.23100000000000001</v>
      </c>
      <c r="N11" s="265">
        <v>2.5999999999999999E-2</v>
      </c>
      <c r="O11" s="262">
        <v>7.0000000000000001E-3</v>
      </c>
      <c r="P11" s="143">
        <v>12.46</v>
      </c>
      <c r="Q11" s="251">
        <f t="shared" si="0"/>
        <v>1.853932584269663E-2</v>
      </c>
      <c r="R11" s="251">
        <f t="shared" si="1"/>
        <v>8.884615384615385</v>
      </c>
      <c r="S11" s="34">
        <v>19.841000000000001</v>
      </c>
      <c r="T11" s="112">
        <v>2.8879999999999999</v>
      </c>
      <c r="U11" s="34">
        <v>14.811999999999999</v>
      </c>
      <c r="V11" s="112">
        <v>4.1109999999999998</v>
      </c>
      <c r="W11" s="148"/>
      <c r="X11" s="259"/>
      <c r="Y11" s="72">
        <v>47</v>
      </c>
      <c r="Z11" s="34"/>
      <c r="AA11" s="34"/>
      <c r="AB11" s="93"/>
      <c r="AC11" s="90"/>
      <c r="AD11" s="272">
        <v>18.7013</v>
      </c>
      <c r="AE11" s="274">
        <v>2.8694999999999999</v>
      </c>
      <c r="AF11" s="274">
        <v>0.71530000000000005</v>
      </c>
      <c r="AG11" s="273">
        <v>31.408300000000001</v>
      </c>
      <c r="AH11" s="276">
        <v>0.89790000000000003</v>
      </c>
      <c r="AI11" s="271"/>
      <c r="AJ11" s="109">
        <v>576</v>
      </c>
      <c r="AK11" s="109">
        <v>16</v>
      </c>
      <c r="AL11" s="109">
        <v>12</v>
      </c>
      <c r="AN11" s="97">
        <f>AJ11-AK11</f>
        <v>560</v>
      </c>
      <c r="AO11" s="76">
        <f t="shared" si="2"/>
        <v>4</v>
      </c>
      <c r="AP11" s="123"/>
      <c r="AQ11" s="248">
        <f t="shared" si="3"/>
        <v>67.768915225513211</v>
      </c>
      <c r="AR11" s="248">
        <f t="shared" si="4"/>
        <v>44.934474035724129</v>
      </c>
      <c r="AS11" s="57"/>
      <c r="AT11" s="35"/>
      <c r="AU11" s="23">
        <f t="shared" si="5"/>
        <v>3.5481338923357426E-2</v>
      </c>
      <c r="AV11" s="25">
        <f t="shared" si="6"/>
        <v>990.11926742851438</v>
      </c>
      <c r="AW11" s="25">
        <f t="shared" si="7"/>
        <v>237.57815070746955</v>
      </c>
      <c r="AX11" s="25">
        <f t="shared" si="8"/>
        <v>644.28012179208349</v>
      </c>
      <c r="AY11" s="25">
        <f t="shared" si="9"/>
        <v>105.1352871975858</v>
      </c>
      <c r="AZ11" s="25">
        <f t="shared" si="10"/>
        <v>389.35084943371089</v>
      </c>
      <c r="BA11" s="24">
        <f t="shared" si="11"/>
        <v>46.277257135116038</v>
      </c>
      <c r="BB11" s="25">
        <f t="shared" si="12"/>
        <v>885.91374495811351</v>
      </c>
      <c r="BC11" s="24">
        <f t="shared" si="13"/>
        <v>47.262869775765864</v>
      </c>
      <c r="BD11" s="23">
        <f t="shared" si="14"/>
        <v>1.1624152405553763</v>
      </c>
      <c r="BE11" s="25">
        <f t="shared" si="15"/>
        <v>882.5810401491342</v>
      </c>
      <c r="BF11" s="249">
        <f t="shared" si="16"/>
        <v>67.768915225513211</v>
      </c>
      <c r="BG11" s="26"/>
      <c r="BH11" s="25">
        <f t="shared" si="17"/>
        <v>-343.16878345333271</v>
      </c>
      <c r="BI11" s="137">
        <f t="shared" si="18"/>
        <v>-7.9853762969863542</v>
      </c>
      <c r="BJ11" s="100">
        <f t="shared" si="19"/>
        <v>1.6729765148836412E-3</v>
      </c>
      <c r="BK11" s="23">
        <f t="shared" si="20"/>
        <v>0.95310327501019998</v>
      </c>
      <c r="BL11" s="23">
        <f t="shared" si="21"/>
        <v>0.82520119346519039</v>
      </c>
      <c r="BM11" s="43">
        <f t="shared" si="22"/>
        <v>0.77562249853456511</v>
      </c>
      <c r="BN11" s="100">
        <f t="shared" si="23"/>
        <v>3.3817380329598851E-11</v>
      </c>
      <c r="BO11" s="100">
        <f t="shared" si="24"/>
        <v>4.085238005774451E-7</v>
      </c>
      <c r="BP11" s="100">
        <f t="shared" si="25"/>
        <v>9.8024886752528385E-8</v>
      </c>
      <c r="BQ11" s="100">
        <f t="shared" si="26"/>
        <v>6.1406549410400533E-7</v>
      </c>
      <c r="BR11" s="100">
        <f t="shared" si="27"/>
        <v>1.0020478654715698E-7</v>
      </c>
      <c r="BS11" s="100">
        <f t="shared" si="28"/>
        <v>1.6064639281469197E-7</v>
      </c>
      <c r="BT11" s="100">
        <f t="shared" si="29"/>
        <v>8.44367291696129E-7</v>
      </c>
      <c r="BU11" s="100">
        <f t="shared" si="30"/>
        <v>4.4107005333968241E-8</v>
      </c>
      <c r="BV11" s="44">
        <f t="shared" si="31"/>
        <v>8.4119087982804865E-7</v>
      </c>
      <c r="BW11" s="100">
        <f t="shared" si="32"/>
        <v>1.1822556163227759E-8</v>
      </c>
      <c r="BX11" s="100">
        <f t="shared" si="33"/>
        <v>4.8614332268715965E-5</v>
      </c>
      <c r="BY11" s="100">
        <f t="shared" si="34"/>
        <v>1.0390637995768009E-5</v>
      </c>
      <c r="BZ11" s="100">
        <f t="shared" si="35"/>
        <v>3.0764681254610665E-5</v>
      </c>
      <c r="CA11" s="100">
        <f t="shared" si="36"/>
        <v>7.3650518112160381E-6</v>
      </c>
      <c r="CB11" s="100">
        <f t="shared" si="37"/>
        <v>2.5703422850350716E-5</v>
      </c>
      <c r="CC11" s="100">
        <f t="shared" si="38"/>
        <v>6.4425224356414639E-5</v>
      </c>
      <c r="CD11" s="100">
        <f t="shared" si="39"/>
        <v>3.1492401808453324E-6</v>
      </c>
      <c r="CE11" s="44">
        <f t="shared" si="40"/>
        <v>3.7432994152348168E-5</v>
      </c>
      <c r="CF11" s="138">
        <f t="shared" si="41"/>
        <v>19.042441327408458</v>
      </c>
      <c r="CG11" s="138">
        <f t="shared" si="42"/>
        <v>26.7</v>
      </c>
      <c r="CH11" s="24">
        <f t="shared" si="43"/>
        <v>7.6575586725915414</v>
      </c>
      <c r="CI11" s="27">
        <f t="shared" si="44"/>
        <v>28.679995028432739</v>
      </c>
      <c r="CS11" s="47">
        <v>2.59</v>
      </c>
      <c r="CT11" s="48">
        <f t="shared" si="45"/>
        <v>2.5703957827688637E-3</v>
      </c>
      <c r="CU11" s="48">
        <v>3.1622776601683798E-2</v>
      </c>
      <c r="CV11" s="48">
        <f t="shared" si="46"/>
        <v>8.1283051616409932E-5</v>
      </c>
      <c r="CW11" s="48">
        <v>5.0118723362727197E-7</v>
      </c>
      <c r="CX11" s="48">
        <f t="shared" si="47"/>
        <v>1148.153621496886</v>
      </c>
      <c r="CY11" s="48">
        <v>5.6234132519034893E-11</v>
      </c>
      <c r="CZ11" s="48">
        <f t="shared" si="48"/>
        <v>6.4565422903465715E-8</v>
      </c>
      <c r="DA11" s="97">
        <f t="shared" si="49"/>
        <v>1148.1536216260167</v>
      </c>
      <c r="DB11" s="106"/>
      <c r="DC11" s="47">
        <v>3.42</v>
      </c>
      <c r="DD11" s="48">
        <f t="shared" si="50"/>
        <v>3.8018939632056113E-4</v>
      </c>
      <c r="DE11" s="48">
        <v>3.1622776601683798E-2</v>
      </c>
      <c r="DF11" s="48">
        <f t="shared" si="51"/>
        <v>1.2022644346174128E-5</v>
      </c>
      <c r="DG11" s="48">
        <v>5.0118723362727197E-7</v>
      </c>
      <c r="DH11" s="48">
        <f t="shared" si="52"/>
        <v>169.82436524617489</v>
      </c>
      <c r="DI11" s="48">
        <v>5.6234132519034893E-11</v>
      </c>
      <c r="DJ11" s="48">
        <f t="shared" si="53"/>
        <v>9.5499258602143817E-9</v>
      </c>
      <c r="DK11" s="97">
        <f t="shared" si="54"/>
        <v>169.82436526527474</v>
      </c>
    </row>
    <row r="12" spans="1:115" ht="12.75" x14ac:dyDescent="0.2">
      <c r="A12" s="30">
        <v>7</v>
      </c>
      <c r="B12" s="141" t="s">
        <v>107</v>
      </c>
      <c r="C12" s="142" t="s">
        <v>22</v>
      </c>
      <c r="D12" s="40">
        <v>42674.510416666664</v>
      </c>
      <c r="E12" s="33">
        <v>1000</v>
      </c>
      <c r="F12" s="149" t="s">
        <v>173</v>
      </c>
      <c r="G12" s="149" t="s">
        <v>177</v>
      </c>
      <c r="H12" s="109"/>
      <c r="I12" s="321">
        <v>6.4</v>
      </c>
      <c r="J12" s="263">
        <v>263</v>
      </c>
      <c r="K12" s="264">
        <v>63.9</v>
      </c>
      <c r="L12" s="264">
        <v>22.2</v>
      </c>
      <c r="M12" s="320">
        <v>0.36899999999999999</v>
      </c>
      <c r="N12" s="265">
        <v>4.3999999999999997E-2</v>
      </c>
      <c r="O12" s="269">
        <v>7.0000000000000001E-3</v>
      </c>
      <c r="P12" s="143">
        <v>8.6389999999999993</v>
      </c>
      <c r="Q12" s="251">
        <f t="shared" si="0"/>
        <v>4.2713276999652737E-2</v>
      </c>
      <c r="R12" s="251">
        <f t="shared" si="1"/>
        <v>8.3863636363636367</v>
      </c>
      <c r="S12" s="112">
        <v>4.2990000000000004</v>
      </c>
      <c r="T12" s="112">
        <v>1.0409999999999999</v>
      </c>
      <c r="U12" s="112">
        <v>4.8070000000000004</v>
      </c>
      <c r="V12" s="112">
        <v>0.81899999999999995</v>
      </c>
      <c r="W12" s="148">
        <v>19</v>
      </c>
      <c r="X12" s="259">
        <v>272</v>
      </c>
      <c r="Y12" s="253">
        <v>21</v>
      </c>
      <c r="Z12" s="34"/>
      <c r="AA12" s="34"/>
      <c r="AB12" s="93"/>
      <c r="AC12" s="90"/>
      <c r="AD12" s="274">
        <v>2.6162000000000001</v>
      </c>
      <c r="AE12" s="274">
        <v>0.2898</v>
      </c>
      <c r="AF12" s="274">
        <v>0.50190000000000001</v>
      </c>
      <c r="AG12" s="275">
        <v>8.4667999999999992</v>
      </c>
      <c r="AH12" s="276">
        <v>4.2099999999999999E-2</v>
      </c>
      <c r="AI12" s="271"/>
      <c r="AJ12" s="109">
        <v>12</v>
      </c>
      <c r="AK12" s="109">
        <v>16</v>
      </c>
      <c r="AL12" s="109">
        <v>12</v>
      </c>
      <c r="AN12" s="260">
        <v>0</v>
      </c>
      <c r="AO12" s="76">
        <f t="shared" si="2"/>
        <v>4</v>
      </c>
      <c r="AP12" s="123"/>
      <c r="AQ12" s="248">
        <f t="shared" si="3"/>
        <v>45.131939188031552</v>
      </c>
      <c r="AR12" s="248">
        <f t="shared" si="4"/>
        <v>31.154809084640508</v>
      </c>
      <c r="AS12" s="57"/>
      <c r="AT12" s="35"/>
      <c r="AU12" s="23">
        <f t="shared" si="5"/>
        <v>0.3981071705534962</v>
      </c>
      <c r="AV12" s="25">
        <f t="shared" si="6"/>
        <v>214.53166325664955</v>
      </c>
      <c r="AW12" s="24">
        <f t="shared" si="7"/>
        <v>85.636722606120429</v>
      </c>
      <c r="AX12" s="25">
        <f t="shared" si="8"/>
        <v>209.09090909090912</v>
      </c>
      <c r="AY12" s="24">
        <f t="shared" si="9"/>
        <v>20.945220193340493</v>
      </c>
      <c r="AZ12" s="24">
        <f t="shared" si="10"/>
        <v>54.467854763491012</v>
      </c>
      <c r="BA12" s="24">
        <f t="shared" si="11"/>
        <v>4.6736884885020489</v>
      </c>
      <c r="BB12" s="25">
        <f t="shared" si="12"/>
        <v>238.81758948466981</v>
      </c>
      <c r="BC12" s="23">
        <f t="shared" si="13"/>
        <v>2.2160227392357088</v>
      </c>
      <c r="BD12" s="23">
        <f t="shared" si="14"/>
        <v>1.1624152405553763</v>
      </c>
      <c r="BE12" s="25">
        <f t="shared" si="15"/>
        <v>217.80097706716245</v>
      </c>
      <c r="BF12" s="249">
        <f t="shared" si="16"/>
        <v>45.131939188031552</v>
      </c>
      <c r="BG12" s="26"/>
      <c r="BH12" s="25">
        <f t="shared" si="17"/>
        <v>-33.667864654074947</v>
      </c>
      <c r="BI12" s="137">
        <f t="shared" si="18"/>
        <v>-3.0750471783832318</v>
      </c>
      <c r="BJ12" s="100">
        <f t="shared" si="19"/>
        <v>4.1538888889673577E-4</v>
      </c>
      <c r="BK12" s="23">
        <f t="shared" si="20"/>
        <v>0.97635025349993054</v>
      </c>
      <c r="BL12" s="23">
        <f t="shared" si="21"/>
        <v>0.90870427967801337</v>
      </c>
      <c r="BM12" s="43">
        <f t="shared" si="22"/>
        <v>0.88107697763643344</v>
      </c>
      <c r="BN12" s="100">
        <f t="shared" si="23"/>
        <v>3.8869203689004612E-10</v>
      </c>
      <c r="BO12" s="100">
        <f t="shared" si="24"/>
        <v>9.7472920263879936E-8</v>
      </c>
      <c r="BP12" s="100">
        <f t="shared" si="25"/>
        <v>3.8909228164890251E-8</v>
      </c>
      <c r="BQ12" s="100">
        <f t="shared" si="26"/>
        <v>2.0414596209544005E-7</v>
      </c>
      <c r="BR12" s="100">
        <f t="shared" si="27"/>
        <v>2.0449871045379856E-8</v>
      </c>
      <c r="BS12" s="100">
        <f t="shared" si="28"/>
        <v>2.4747586364232378E-8</v>
      </c>
      <c r="BT12" s="100">
        <f t="shared" si="29"/>
        <v>2.3316961403359972E-7</v>
      </c>
      <c r="BU12" s="100">
        <f t="shared" si="30"/>
        <v>4.5631569405286832E-9</v>
      </c>
      <c r="BV12" s="44">
        <f t="shared" si="31"/>
        <v>2.1265003917205661E-7</v>
      </c>
      <c r="BW12" s="100">
        <f t="shared" si="32"/>
        <v>1.3588673609676012E-7</v>
      </c>
      <c r="BX12" s="100">
        <f t="shared" si="33"/>
        <v>1.1599277511401712E-5</v>
      </c>
      <c r="BY12" s="100">
        <f t="shared" si="34"/>
        <v>4.1243781854783667E-6</v>
      </c>
      <c r="BZ12" s="100">
        <f t="shared" si="35"/>
        <v>1.0227712700981546E-5</v>
      </c>
      <c r="CA12" s="100">
        <f t="shared" si="36"/>
        <v>1.5030655218354195E-6</v>
      </c>
      <c r="CB12" s="100">
        <f t="shared" si="37"/>
        <v>3.9596138182771806E-6</v>
      </c>
      <c r="CC12" s="100">
        <f t="shared" si="38"/>
        <v>1.779084155076366E-5</v>
      </c>
      <c r="CD12" s="100">
        <f t="shared" si="39"/>
        <v>3.2580940555374799E-7</v>
      </c>
      <c r="CE12" s="44">
        <f t="shared" si="40"/>
        <v>9.4629267431565196E-6</v>
      </c>
      <c r="CF12" s="138">
        <f t="shared" si="41"/>
        <v>4.9666585430388386</v>
      </c>
      <c r="CG12" s="138">
        <f t="shared" si="42"/>
        <v>6.39</v>
      </c>
      <c r="CH12" s="24">
        <f t="shared" si="43"/>
        <v>1.4233414569611611</v>
      </c>
      <c r="CI12" s="27">
        <f t="shared" si="44"/>
        <v>22.274514193445402</v>
      </c>
      <c r="CS12" s="47">
        <v>2.355</v>
      </c>
      <c r="CT12" s="48">
        <f t="shared" si="45"/>
        <v>4.4157044735331219E-3</v>
      </c>
      <c r="CU12" s="48">
        <v>3.1622776601683798E-2</v>
      </c>
      <c r="CV12" s="48">
        <f t="shared" si="46"/>
        <v>1.3963683610559367E-4</v>
      </c>
      <c r="CW12" s="48">
        <v>5.0118723362727197E-7</v>
      </c>
      <c r="CX12" s="48">
        <f t="shared" si="47"/>
        <v>175.79236139586951</v>
      </c>
      <c r="CY12" s="48">
        <v>5.6234132519034893E-11</v>
      </c>
      <c r="CZ12" s="48">
        <f t="shared" si="48"/>
        <v>9.8855309465693993E-9</v>
      </c>
      <c r="DA12" s="97">
        <f t="shared" si="49"/>
        <v>175.79236141564056</v>
      </c>
      <c r="DB12" s="106"/>
      <c r="DC12" s="47">
        <v>3.42</v>
      </c>
      <c r="DD12" s="48">
        <f t="shared" si="50"/>
        <v>3.8018939632056113E-4</v>
      </c>
      <c r="DE12" s="48">
        <v>3.1622776601683798E-2</v>
      </c>
      <c r="DF12" s="48">
        <f t="shared" si="51"/>
        <v>1.2022644346174128E-5</v>
      </c>
      <c r="DG12" s="48">
        <v>5.0118723362727197E-7</v>
      </c>
      <c r="DH12" s="48">
        <f t="shared" si="52"/>
        <v>15.13561248436211</v>
      </c>
      <c r="DI12" s="48">
        <v>5.6234132519034893E-11</v>
      </c>
      <c r="DJ12" s="48">
        <f t="shared" si="53"/>
        <v>8.5113803820237799E-10</v>
      </c>
      <c r="DK12" s="97">
        <f t="shared" si="54"/>
        <v>15.135612486064385</v>
      </c>
    </row>
    <row r="13" spans="1:115" x14ac:dyDescent="0.25">
      <c r="A13" s="128"/>
      <c r="B13" s="109"/>
      <c r="C13" s="109"/>
      <c r="D13" s="129"/>
      <c r="E13" s="42"/>
      <c r="P13" s="119"/>
      <c r="S13" s="119"/>
      <c r="T13" s="119"/>
      <c r="U13" s="119"/>
      <c r="V13" s="119"/>
      <c r="W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K13" s="32"/>
      <c r="AM13" s="5"/>
      <c r="AO13" s="5"/>
      <c r="AP13" s="5"/>
      <c r="AQ13" s="5"/>
      <c r="AR13" s="5"/>
      <c r="CS13" s="5"/>
      <c r="CT13" s="5"/>
      <c r="CU13" s="5"/>
      <c r="CV13" s="5"/>
      <c r="CW13" s="5"/>
      <c r="CX13" s="5"/>
      <c r="CY13" s="5"/>
      <c r="CZ13" s="5"/>
      <c r="DA13" s="5"/>
    </row>
    <row r="14" spans="1:115" x14ac:dyDescent="0.25">
      <c r="A14" s="128"/>
      <c r="B14" s="109"/>
      <c r="C14" s="109"/>
      <c r="D14" s="129"/>
      <c r="E14" s="42"/>
      <c r="P14" s="119"/>
      <c r="S14" s="119"/>
      <c r="T14" s="119"/>
      <c r="U14" s="119"/>
      <c r="V14" s="119"/>
      <c r="W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K14" s="32"/>
      <c r="AM14" s="5"/>
      <c r="AO14" s="5"/>
      <c r="AP14" s="5"/>
      <c r="AQ14" s="5"/>
      <c r="AR14" s="5"/>
      <c r="CS14" s="5"/>
      <c r="CT14" s="5"/>
      <c r="CU14" s="5"/>
      <c r="CV14" s="5"/>
      <c r="CW14" s="5"/>
      <c r="CX14" s="5"/>
      <c r="CY14" s="5"/>
      <c r="CZ14" s="5"/>
      <c r="DA14" s="5"/>
    </row>
    <row r="15" spans="1:115" x14ac:dyDescent="0.25">
      <c r="A15" s="128"/>
      <c r="B15" s="109"/>
      <c r="C15" s="109"/>
      <c r="D15" s="129"/>
      <c r="E15" s="5"/>
      <c r="F15" s="5"/>
      <c r="G15" s="62"/>
      <c r="H15" s="65"/>
      <c r="I15" s="68"/>
      <c r="J15" s="71"/>
      <c r="P15" s="119"/>
      <c r="S15" s="119"/>
      <c r="T15" s="119"/>
      <c r="U15" s="119"/>
      <c r="V15" s="119"/>
      <c r="W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K15" s="32"/>
      <c r="AM15" s="5"/>
      <c r="AO15" s="5"/>
      <c r="AP15" s="5"/>
      <c r="AQ15" s="5"/>
      <c r="AR15" s="5"/>
      <c r="CS15" s="5"/>
      <c r="CT15" s="5"/>
      <c r="CU15" s="5"/>
      <c r="CV15" s="5"/>
      <c r="CW15" s="5"/>
      <c r="CX15" s="5"/>
      <c r="CY15" s="5"/>
      <c r="CZ15" s="5"/>
      <c r="DA15" s="5"/>
    </row>
    <row r="16" spans="1:115" x14ac:dyDescent="0.25">
      <c r="A16" s="128"/>
      <c r="B16" s="109"/>
      <c r="C16" s="109"/>
      <c r="D16" s="129"/>
      <c r="E16" s="5"/>
      <c r="F16" s="5"/>
      <c r="G16" s="62"/>
      <c r="H16" s="65"/>
      <c r="I16" s="68"/>
      <c r="J16" s="71"/>
      <c r="P16" s="119"/>
      <c r="S16" s="119"/>
      <c r="T16" s="119"/>
      <c r="U16" s="119"/>
      <c r="V16" s="119"/>
      <c r="W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K16" s="119"/>
      <c r="AM16" s="5"/>
      <c r="AO16" s="5"/>
      <c r="AP16" s="5"/>
      <c r="AQ16" s="5"/>
      <c r="AR16" s="5"/>
      <c r="CS16" s="5"/>
      <c r="CT16" s="5"/>
      <c r="CU16" s="5"/>
      <c r="CV16" s="5"/>
      <c r="CW16" s="5"/>
      <c r="CX16" s="5"/>
      <c r="CY16" s="5"/>
      <c r="CZ16" s="5"/>
      <c r="DA16" s="5"/>
    </row>
    <row r="17" spans="1:105" x14ac:dyDescent="0.25">
      <c r="A17" s="128"/>
      <c r="B17" s="109"/>
      <c r="C17" s="109"/>
      <c r="D17" s="129"/>
      <c r="E17" s="5"/>
      <c r="F17" s="5"/>
      <c r="G17" s="62"/>
      <c r="H17" s="65"/>
      <c r="I17" s="68"/>
      <c r="J17" s="71"/>
      <c r="P17" s="119"/>
      <c r="S17" s="119"/>
      <c r="T17" s="119"/>
      <c r="U17" s="119"/>
      <c r="V17" s="119"/>
      <c r="W17" s="119"/>
      <c r="Y17" s="119"/>
      <c r="Z17" s="119"/>
      <c r="AA17" s="119"/>
      <c r="AB17" s="119"/>
      <c r="AC17" s="119"/>
      <c r="AD17" s="77"/>
      <c r="AE17" s="77"/>
      <c r="AF17" s="256"/>
      <c r="AG17" s="77"/>
      <c r="AH17" s="77"/>
      <c r="AI17" s="77"/>
      <c r="AJ17" s="77"/>
      <c r="AK17" s="77"/>
      <c r="AM17" s="5"/>
      <c r="AO17" s="5"/>
      <c r="AP17" s="5"/>
      <c r="AQ17" s="5"/>
      <c r="AT17" s="109" t="str">
        <f>B4</f>
        <v>Lutvann</v>
      </c>
      <c r="AU17" s="102">
        <f>AU4</f>
        <v>4.2657951880159237E-2</v>
      </c>
      <c r="AV17" s="4">
        <f>AV4</f>
        <v>286.19192574479763</v>
      </c>
      <c r="AW17" s="1">
        <f>AW4</f>
        <v>101.84271141822967</v>
      </c>
      <c r="AX17" s="1">
        <f>AX4</f>
        <v>78.555893866898671</v>
      </c>
      <c r="AY17" s="102">
        <f>AY4</f>
        <v>15.191038821543655</v>
      </c>
      <c r="CS17" s="5"/>
      <c r="CT17" s="5"/>
      <c r="CU17" s="5"/>
      <c r="CV17" s="5"/>
      <c r="CW17" s="5"/>
      <c r="CX17" s="5"/>
      <c r="CY17" s="5"/>
      <c r="CZ17" s="5"/>
      <c r="DA17" s="5"/>
    </row>
    <row r="18" spans="1:105" s="72" customFormat="1" x14ac:dyDescent="0.25">
      <c r="A18" s="128"/>
      <c r="B18" s="109"/>
      <c r="C18" s="109"/>
      <c r="D18" s="129"/>
      <c r="E18" s="5"/>
      <c r="F18" s="5"/>
      <c r="G18" s="62"/>
      <c r="H18" s="65"/>
      <c r="I18" s="68"/>
      <c r="J18" s="71"/>
      <c r="M18" s="57"/>
      <c r="N18" s="57"/>
      <c r="O18" s="57"/>
      <c r="P18" s="119"/>
      <c r="Q18" s="119"/>
      <c r="R18" s="119"/>
      <c r="S18" s="119"/>
      <c r="T18" s="119"/>
      <c r="U18" s="119"/>
      <c r="V18" s="119"/>
      <c r="W18" s="119"/>
      <c r="X18" s="2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32"/>
      <c r="AM18" s="5"/>
      <c r="AN18" s="32"/>
      <c r="AO18" s="5"/>
      <c r="AP18" s="5"/>
      <c r="AQ18" s="5"/>
      <c r="AS18" s="1"/>
      <c r="AU18" s="102"/>
      <c r="AV18" s="4"/>
      <c r="AW18" s="1"/>
      <c r="AX18" s="102"/>
      <c r="AY18" s="102"/>
      <c r="AZ18" s="1">
        <f t="shared" ref="AZ18:BF18" si="55">AZ4</f>
        <v>163.76998667554966</v>
      </c>
      <c r="BA18" s="1">
        <f t="shared" si="55"/>
        <v>3.5560673282080804</v>
      </c>
      <c r="BB18" s="1">
        <f t="shared" si="55"/>
        <v>22.288663864835129</v>
      </c>
      <c r="BC18" s="1">
        <f t="shared" si="55"/>
        <v>2.0949573639330459</v>
      </c>
      <c r="BD18" s="1">
        <f t="shared" si="55"/>
        <v>0.8718114304165322</v>
      </c>
      <c r="BE18" s="4">
        <f t="shared" si="55"/>
        <v>229.87016860948842</v>
      </c>
      <c r="BF18" s="1">
        <f t="shared" si="55"/>
        <v>10.57395169773322</v>
      </c>
      <c r="BG18" s="1"/>
      <c r="BH18" s="3"/>
      <c r="BI18" s="3"/>
      <c r="BJ18" s="101"/>
      <c r="BK18" s="2"/>
      <c r="BL18" s="2"/>
      <c r="BM18" s="3"/>
      <c r="BN18" s="101"/>
      <c r="BO18" s="101"/>
      <c r="BP18" s="101"/>
      <c r="BQ18" s="101"/>
      <c r="BR18" s="101"/>
      <c r="BS18" s="101"/>
      <c r="BT18" s="101"/>
      <c r="BU18" s="101"/>
      <c r="BV18" s="3"/>
      <c r="BW18" s="101"/>
      <c r="BX18" s="101"/>
      <c r="BY18" s="101"/>
      <c r="BZ18" s="101"/>
      <c r="CA18" s="101"/>
      <c r="CB18" s="101"/>
      <c r="CC18" s="101"/>
      <c r="CD18" s="101"/>
      <c r="CE18" s="3"/>
      <c r="CF18" s="105"/>
      <c r="CG18" s="106"/>
      <c r="CH18" s="106"/>
      <c r="CS18" s="5"/>
      <c r="CT18" s="5"/>
      <c r="CU18" s="5"/>
      <c r="CV18" s="5"/>
      <c r="CW18" s="5"/>
      <c r="CX18" s="5"/>
      <c r="CY18" s="5"/>
      <c r="CZ18" s="5"/>
      <c r="DA18" s="5"/>
    </row>
    <row r="19" spans="1:105" s="72" customFormat="1" x14ac:dyDescent="0.25">
      <c r="A19" s="128"/>
      <c r="B19" s="109"/>
      <c r="C19" s="109"/>
      <c r="D19" s="129"/>
      <c r="E19" s="5"/>
      <c r="F19" s="5"/>
      <c r="G19" s="62"/>
      <c r="H19" s="65"/>
      <c r="I19" s="68"/>
      <c r="J19" s="71"/>
      <c r="M19" s="57"/>
      <c r="N19" s="57"/>
      <c r="O19" s="57"/>
      <c r="P19" s="119"/>
      <c r="Q19" s="119"/>
      <c r="R19" s="119"/>
      <c r="S19" s="119"/>
      <c r="T19" s="119"/>
      <c r="U19" s="119"/>
      <c r="V19" s="119"/>
      <c r="W19" s="119"/>
      <c r="X19" s="2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32"/>
      <c r="AM19" s="5"/>
      <c r="AN19" s="32"/>
      <c r="AO19" s="5"/>
      <c r="AP19" s="5"/>
      <c r="AQ19" s="5"/>
      <c r="AS19" s="1"/>
      <c r="AU19" s="102"/>
      <c r="AV19" s="4"/>
      <c r="AW19" s="1"/>
      <c r="AX19" s="102"/>
      <c r="AY19" s="102"/>
      <c r="AZ19" s="1"/>
      <c r="BA19" s="1"/>
      <c r="BB19" s="1"/>
      <c r="BC19" s="1"/>
      <c r="BD19" s="1"/>
      <c r="BE19" s="4"/>
      <c r="BF19" s="1"/>
      <c r="BG19" s="1"/>
      <c r="BH19" s="3"/>
      <c r="BI19" s="3"/>
      <c r="BJ19" s="101"/>
      <c r="BK19" s="2"/>
      <c r="BL19" s="2"/>
      <c r="BM19" s="3"/>
      <c r="BN19" s="101"/>
      <c r="BO19" s="101"/>
      <c r="BP19" s="101"/>
      <c r="BQ19" s="101"/>
      <c r="BR19" s="101"/>
      <c r="BS19" s="101"/>
      <c r="BT19" s="101"/>
      <c r="BU19" s="101"/>
      <c r="BV19" s="3"/>
      <c r="BW19" s="101"/>
      <c r="BX19" s="101"/>
      <c r="BY19" s="101"/>
      <c r="BZ19" s="101"/>
      <c r="CA19" s="101"/>
      <c r="CB19" s="101"/>
      <c r="CC19" s="101"/>
      <c r="CD19" s="101"/>
      <c r="CE19" s="3"/>
      <c r="CF19" s="105"/>
      <c r="CG19" s="106"/>
      <c r="CH19" s="106"/>
      <c r="CS19" s="5"/>
      <c r="CT19" s="5"/>
      <c r="CU19" s="5"/>
      <c r="CV19" s="5"/>
      <c r="CW19" s="5"/>
      <c r="CX19" s="5"/>
      <c r="CY19" s="5"/>
      <c r="CZ19" s="5"/>
      <c r="DA19" s="5"/>
    </row>
    <row r="20" spans="1:105" x14ac:dyDescent="0.25">
      <c r="A20" s="128"/>
      <c r="B20" s="109"/>
      <c r="C20" s="109"/>
      <c r="D20" s="129"/>
      <c r="E20" s="5"/>
      <c r="F20" s="5"/>
      <c r="G20" s="62"/>
      <c r="H20" s="65"/>
      <c r="I20" s="68"/>
      <c r="J20" s="71"/>
      <c r="P20" s="119"/>
      <c r="S20" s="119"/>
      <c r="T20" s="119"/>
      <c r="U20" s="119"/>
      <c r="V20" s="119"/>
      <c r="W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K20" s="119"/>
      <c r="AM20" s="5"/>
      <c r="AO20" s="5"/>
      <c r="AP20" s="5"/>
      <c r="AQ20" s="5"/>
      <c r="AT20" s="109" t="str">
        <f>B5</f>
        <v>Nesøytjernet</v>
      </c>
      <c r="AU20" s="102">
        <f>AU5</f>
        <v>2.9512092266663778E-2</v>
      </c>
      <c r="AV20" s="4">
        <f>AV5</f>
        <v>1294.2262587953487</v>
      </c>
      <c r="AW20" s="1">
        <f>AW5</f>
        <v>306.43303718328394</v>
      </c>
      <c r="AX20" s="1">
        <f>AX5</f>
        <v>448.15137016093956</v>
      </c>
      <c r="AY20" s="102">
        <f>AY5</f>
        <v>47.312157945885126</v>
      </c>
      <c r="BB20" s="1"/>
      <c r="BC20" s="1"/>
      <c r="BD20" s="1"/>
      <c r="BE20" s="4"/>
      <c r="BF20" s="1"/>
      <c r="BG20" s="1"/>
      <c r="CS20" s="5"/>
      <c r="CT20" s="5"/>
      <c r="CU20" s="5"/>
      <c r="CV20" s="5"/>
      <c r="CW20" s="5"/>
      <c r="CX20" s="5"/>
      <c r="CY20" s="5"/>
      <c r="CZ20" s="5"/>
      <c r="DA20" s="5"/>
    </row>
    <row r="21" spans="1:105" s="72" customFormat="1" x14ac:dyDescent="0.25">
      <c r="A21" s="128"/>
      <c r="B21" s="109"/>
      <c r="C21" s="109"/>
      <c r="D21" s="129"/>
      <c r="E21" s="5"/>
      <c r="F21" s="5"/>
      <c r="G21" s="62"/>
      <c r="H21" s="65"/>
      <c r="I21" s="68"/>
      <c r="J21" s="71"/>
      <c r="M21" s="57"/>
      <c r="N21" s="57"/>
      <c r="O21" s="57"/>
      <c r="P21" s="119"/>
      <c r="Q21" s="119"/>
      <c r="R21" s="119"/>
      <c r="S21" s="119"/>
      <c r="T21" s="119"/>
      <c r="U21" s="119"/>
      <c r="V21" s="119"/>
      <c r="W21" s="119"/>
      <c r="X21" s="2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32"/>
      <c r="AM21" s="5"/>
      <c r="AN21" s="32"/>
      <c r="AO21" s="5"/>
      <c r="AP21" s="5"/>
      <c r="AQ21" s="5"/>
      <c r="AS21" s="1"/>
      <c r="AU21" s="102"/>
      <c r="AV21" s="4"/>
      <c r="AW21" s="1"/>
      <c r="AX21" s="102"/>
      <c r="AY21" s="102"/>
      <c r="AZ21" s="4">
        <f t="shared" ref="AZ21:BF21" si="56">AZ5</f>
        <v>163.54930046635576</v>
      </c>
      <c r="BA21" s="1">
        <f t="shared" si="56"/>
        <v>0</v>
      </c>
      <c r="BB21" s="1">
        <f t="shared" si="56"/>
        <v>365.05514342932895</v>
      </c>
      <c r="BC21" s="1">
        <f t="shared" si="56"/>
        <v>2.0896936519633647</v>
      </c>
      <c r="BD21" s="1">
        <f t="shared" si="56"/>
        <v>0.8718114304165322</v>
      </c>
      <c r="BE21" s="4">
        <f t="shared" si="56"/>
        <v>1728.1622399577157</v>
      </c>
      <c r="BF21" s="1">
        <f t="shared" si="56"/>
        <v>42.174444440542096</v>
      </c>
      <c r="BG21" s="1"/>
      <c r="BH21" s="3"/>
      <c r="BI21" s="3"/>
      <c r="BJ21" s="101"/>
      <c r="BK21" s="2"/>
      <c r="BL21" s="2"/>
      <c r="BM21" s="3"/>
      <c r="BN21" s="101"/>
      <c r="BO21" s="101"/>
      <c r="BP21" s="101"/>
      <c r="BQ21" s="101"/>
      <c r="BR21" s="101"/>
      <c r="BS21" s="101"/>
      <c r="BT21" s="101"/>
      <c r="BU21" s="101"/>
      <c r="BV21" s="3"/>
      <c r="BW21" s="101"/>
      <c r="BX21" s="101"/>
      <c r="BY21" s="101"/>
      <c r="BZ21" s="101"/>
      <c r="CA21" s="101"/>
      <c r="CB21" s="101"/>
      <c r="CC21" s="101"/>
      <c r="CD21" s="101"/>
      <c r="CE21" s="3"/>
      <c r="CF21" s="105"/>
      <c r="CG21" s="106"/>
      <c r="CH21" s="106"/>
      <c r="CS21" s="5"/>
      <c r="CT21" s="5"/>
      <c r="CU21" s="5"/>
      <c r="CV21" s="5"/>
      <c r="CW21" s="5"/>
      <c r="CX21" s="5"/>
      <c r="CY21" s="5"/>
      <c r="CZ21" s="5"/>
      <c r="DA21" s="5"/>
    </row>
    <row r="22" spans="1:105" s="72" customFormat="1" x14ac:dyDescent="0.25">
      <c r="A22" s="128"/>
      <c r="B22" s="109"/>
      <c r="C22" s="109"/>
      <c r="D22" s="129"/>
      <c r="E22" s="5"/>
      <c r="F22" s="5"/>
      <c r="G22" s="62"/>
      <c r="H22" s="65"/>
      <c r="I22" s="68"/>
      <c r="J22" s="71"/>
      <c r="M22" s="57"/>
      <c r="N22" s="57"/>
      <c r="O22" s="57"/>
      <c r="P22" s="119"/>
      <c r="Q22" s="119"/>
      <c r="R22" s="119"/>
      <c r="S22" s="119"/>
      <c r="T22" s="119"/>
      <c r="U22" s="119"/>
      <c r="V22" s="119"/>
      <c r="W22" s="119"/>
      <c r="X22" s="2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32"/>
      <c r="AM22" s="5"/>
      <c r="AN22" s="32"/>
      <c r="AO22" s="5"/>
      <c r="AP22" s="5"/>
      <c r="AQ22" s="5"/>
      <c r="AS22" s="1"/>
      <c r="AU22" s="102"/>
      <c r="AV22" s="4"/>
      <c r="AW22" s="1"/>
      <c r="AX22" s="102"/>
      <c r="AY22" s="102"/>
      <c r="AZ22" s="1"/>
      <c r="BA22" s="1"/>
      <c r="BB22" s="1"/>
      <c r="BC22" s="1"/>
      <c r="BD22" s="1"/>
      <c r="BE22" s="4"/>
      <c r="BF22" s="1"/>
      <c r="BG22" s="1"/>
      <c r="BH22" s="3"/>
      <c r="BI22" s="3"/>
      <c r="BJ22" s="101"/>
      <c r="BK22" s="2"/>
      <c r="BL22" s="2"/>
      <c r="BM22" s="3"/>
      <c r="BN22" s="101"/>
      <c r="BO22" s="101"/>
      <c r="BP22" s="101"/>
      <c r="BQ22" s="101"/>
      <c r="BR22" s="101"/>
      <c r="BS22" s="101"/>
      <c r="BT22" s="101"/>
      <c r="BU22" s="101"/>
      <c r="BV22" s="3"/>
      <c r="BW22" s="101"/>
      <c r="BX22" s="101"/>
      <c r="BY22" s="101"/>
      <c r="BZ22" s="101"/>
      <c r="CA22" s="101"/>
      <c r="CB22" s="101"/>
      <c r="CC22" s="101"/>
      <c r="CD22" s="101"/>
      <c r="CE22" s="3"/>
      <c r="CF22" s="105"/>
      <c r="CG22" s="106"/>
      <c r="CH22" s="106"/>
      <c r="CS22" s="5"/>
      <c r="CT22" s="5"/>
      <c r="CU22" s="5"/>
      <c r="CV22" s="5"/>
      <c r="CW22" s="5"/>
      <c r="CX22" s="5"/>
      <c r="CY22" s="5"/>
      <c r="CZ22" s="5"/>
      <c r="DA22" s="5"/>
    </row>
    <row r="23" spans="1:105" x14ac:dyDescent="0.25">
      <c r="A23" s="128"/>
      <c r="B23" s="109"/>
      <c r="C23" s="109"/>
      <c r="D23" s="129"/>
      <c r="E23" s="5"/>
      <c r="F23" s="5"/>
      <c r="G23" s="62"/>
      <c r="H23" s="65"/>
      <c r="I23" s="68"/>
      <c r="J23" s="71"/>
      <c r="P23" s="119"/>
      <c r="S23" s="119"/>
      <c r="T23" s="119"/>
      <c r="U23" s="119"/>
      <c r="V23" s="119"/>
      <c r="W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K23" s="119"/>
      <c r="AM23" s="5"/>
      <c r="AO23" s="5"/>
      <c r="AP23" s="5"/>
      <c r="AQ23" s="5"/>
      <c r="AT23" s="109" t="str">
        <f>B6</f>
        <v>Kolbotnvann</v>
      </c>
      <c r="AU23" s="102">
        <f>AU6</f>
        <v>5.3703179637025193E-2</v>
      </c>
      <c r="AV23" s="4">
        <f>AV6</f>
        <v>1169.2699236488845</v>
      </c>
      <c r="AW23" s="1">
        <f>AW6</f>
        <v>251.64527805199077</v>
      </c>
      <c r="AX23" s="4">
        <f>AX6</f>
        <v>883.03610265332759</v>
      </c>
      <c r="AY23" s="102">
        <f>AY6</f>
        <v>96.261060815303566</v>
      </c>
      <c r="BB23" s="1"/>
      <c r="BC23" s="1"/>
      <c r="BD23" s="1"/>
      <c r="BE23" s="4"/>
      <c r="BF23" s="1"/>
      <c r="BG23" s="1"/>
      <c r="CS23" s="5"/>
      <c r="CT23" s="5"/>
      <c r="CU23" s="5"/>
      <c r="CV23" s="5"/>
      <c r="CW23" s="5"/>
      <c r="CX23" s="5"/>
      <c r="CY23" s="5"/>
      <c r="CZ23" s="5"/>
      <c r="DA23" s="5"/>
    </row>
    <row r="24" spans="1:105" s="72" customFormat="1" x14ac:dyDescent="0.25">
      <c r="A24" s="128"/>
      <c r="B24" s="109"/>
      <c r="C24" s="109"/>
      <c r="D24" s="129"/>
      <c r="E24" s="5"/>
      <c r="F24" s="5"/>
      <c r="G24" s="62"/>
      <c r="H24" s="65"/>
      <c r="I24" s="68"/>
      <c r="J24" s="71"/>
      <c r="M24" s="57"/>
      <c r="N24" s="57"/>
      <c r="O24" s="57"/>
      <c r="P24" s="119"/>
      <c r="Q24" s="119"/>
      <c r="R24" s="119"/>
      <c r="S24" s="119"/>
      <c r="T24" s="119"/>
      <c r="U24" s="119"/>
      <c r="V24" s="119"/>
      <c r="W24" s="119"/>
      <c r="X24" s="2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32"/>
      <c r="AM24" s="5"/>
      <c r="AN24" s="32"/>
      <c r="AO24" s="5"/>
      <c r="AP24" s="5"/>
      <c r="AQ24" s="5"/>
      <c r="AS24" s="1"/>
      <c r="AU24" s="102"/>
      <c r="AV24" s="4"/>
      <c r="AW24" s="102"/>
      <c r="AX24" s="102"/>
      <c r="AY24" s="102"/>
      <c r="AZ24" s="1">
        <f t="shared" ref="AZ24:BF24" si="57">AZ6</f>
        <v>434.40622918054635</v>
      </c>
      <c r="BA24" s="1">
        <f t="shared" si="57"/>
        <v>17.722278398947211</v>
      </c>
      <c r="BB24" s="4">
        <f t="shared" si="57"/>
        <v>1126.3729444616818</v>
      </c>
      <c r="BC24" s="1">
        <f t="shared" si="57"/>
        <v>0</v>
      </c>
      <c r="BD24" s="1">
        <f t="shared" si="57"/>
        <v>1.0655473038424281</v>
      </c>
      <c r="BE24" s="4">
        <f t="shared" si="57"/>
        <v>1184.4084453820644</v>
      </c>
      <c r="BF24" s="1">
        <f t="shared" si="57"/>
        <v>41.91997342087334</v>
      </c>
      <c r="BG24" s="1"/>
      <c r="BH24" s="3"/>
      <c r="BI24" s="3"/>
      <c r="BJ24" s="101"/>
      <c r="BK24" s="2"/>
      <c r="BL24" s="2"/>
      <c r="BM24" s="3"/>
      <c r="BN24" s="101"/>
      <c r="BO24" s="101"/>
      <c r="BP24" s="101"/>
      <c r="BQ24" s="101"/>
      <c r="BR24" s="101"/>
      <c r="BS24" s="101"/>
      <c r="BT24" s="101"/>
      <c r="BU24" s="101"/>
      <c r="BV24" s="3"/>
      <c r="BW24" s="101"/>
      <c r="BX24" s="101"/>
      <c r="BY24" s="101"/>
      <c r="BZ24" s="101"/>
      <c r="CA24" s="101"/>
      <c r="CB24" s="101"/>
      <c r="CC24" s="101"/>
      <c r="CD24" s="101"/>
      <c r="CE24" s="3"/>
      <c r="CF24" s="105"/>
      <c r="CG24" s="106"/>
      <c r="CH24" s="106"/>
      <c r="CS24" s="5"/>
      <c r="CT24" s="5"/>
      <c r="CU24" s="5"/>
      <c r="CV24" s="5"/>
      <c r="CW24" s="5"/>
      <c r="CX24" s="5"/>
      <c r="CY24" s="5"/>
      <c r="CZ24" s="5"/>
      <c r="DA24" s="5"/>
    </row>
    <row r="25" spans="1:105" s="72" customFormat="1" x14ac:dyDescent="0.25">
      <c r="A25" s="128"/>
      <c r="B25" s="109"/>
      <c r="C25" s="109"/>
      <c r="D25" s="129"/>
      <c r="E25" s="5"/>
      <c r="F25" s="5"/>
      <c r="G25" s="62"/>
      <c r="H25" s="65"/>
      <c r="I25" s="68"/>
      <c r="J25" s="71"/>
      <c r="M25" s="57"/>
      <c r="N25" s="57"/>
      <c r="O25" s="57"/>
      <c r="P25" s="119"/>
      <c r="Q25" s="119"/>
      <c r="R25" s="119"/>
      <c r="S25" s="119"/>
      <c r="T25" s="119"/>
      <c r="U25" s="119"/>
      <c r="V25" s="119"/>
      <c r="W25" s="119"/>
      <c r="X25" s="2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32"/>
      <c r="AM25" s="5"/>
      <c r="AN25" s="32"/>
      <c r="AO25" s="5"/>
      <c r="AP25" s="5"/>
      <c r="AQ25" s="5"/>
      <c r="AS25" s="1"/>
      <c r="AU25" s="102"/>
      <c r="AV25" s="4"/>
      <c r="AW25" s="102"/>
      <c r="AX25" s="102"/>
      <c r="AY25" s="102"/>
      <c r="AZ25" s="1"/>
      <c r="BA25" s="1"/>
      <c r="BB25" s="4"/>
      <c r="BC25" s="1"/>
      <c r="BD25" s="1"/>
      <c r="BE25" s="4"/>
      <c r="BF25" s="1"/>
      <c r="BG25" s="1"/>
      <c r="BH25" s="3"/>
      <c r="BI25" s="3"/>
      <c r="BJ25" s="101"/>
      <c r="BK25" s="2"/>
      <c r="BL25" s="2"/>
      <c r="BM25" s="3"/>
      <c r="BN25" s="101"/>
      <c r="BO25" s="101"/>
      <c r="BP25" s="101"/>
      <c r="BQ25" s="101"/>
      <c r="BR25" s="101"/>
      <c r="BS25" s="101"/>
      <c r="BT25" s="101"/>
      <c r="BU25" s="101"/>
      <c r="BV25" s="3"/>
      <c r="BW25" s="101"/>
      <c r="BX25" s="101"/>
      <c r="BY25" s="101"/>
      <c r="BZ25" s="101"/>
      <c r="CA25" s="101"/>
      <c r="CB25" s="101"/>
      <c r="CC25" s="101"/>
      <c r="CD25" s="101"/>
      <c r="CE25" s="3"/>
      <c r="CF25" s="105"/>
      <c r="CG25" s="106"/>
      <c r="CH25" s="106"/>
      <c r="CS25" s="5"/>
      <c r="CT25" s="5"/>
      <c r="CU25" s="5"/>
      <c r="CV25" s="5"/>
      <c r="CW25" s="5"/>
      <c r="CX25" s="5"/>
      <c r="CY25" s="5"/>
      <c r="CZ25" s="5"/>
      <c r="DA25" s="5"/>
    </row>
    <row r="26" spans="1:105" x14ac:dyDescent="0.25">
      <c r="A26" s="128"/>
      <c r="B26" s="109"/>
      <c r="C26" s="109"/>
      <c r="D26" s="129"/>
      <c r="E26" s="5"/>
      <c r="F26" s="5"/>
      <c r="G26" s="62"/>
      <c r="H26" s="65"/>
      <c r="I26" s="68"/>
      <c r="J26" s="71"/>
      <c r="P26" s="119"/>
      <c r="S26" s="119"/>
      <c r="T26" s="119"/>
      <c r="U26" s="119"/>
      <c r="V26" s="119"/>
      <c r="W26" s="119"/>
      <c r="Y26" s="119"/>
      <c r="Z26" s="119"/>
      <c r="AA26" s="119"/>
      <c r="AB26" s="119"/>
      <c r="AC26" s="122"/>
      <c r="AD26" s="119"/>
      <c r="AE26" s="119"/>
      <c r="AF26" s="119"/>
      <c r="AG26" s="119"/>
      <c r="AH26" s="119"/>
      <c r="AI26" s="119"/>
      <c r="AK26" s="119"/>
      <c r="AM26" s="5"/>
      <c r="AO26" s="5"/>
      <c r="AP26" s="5"/>
      <c r="AQ26" s="5"/>
      <c r="AT26" s="110" t="str">
        <f>B7</f>
        <v>Østensjøvannet</v>
      </c>
      <c r="AU26" s="102">
        <f>AU7</f>
        <v>5.3703179637025193E-2</v>
      </c>
      <c r="AV26" s="4">
        <f>AV7</f>
        <v>749.28888667099159</v>
      </c>
      <c r="AW26" s="4">
        <f>AW7</f>
        <v>209.52615992102668</v>
      </c>
      <c r="AX26" s="4">
        <f>AX7</f>
        <v>318.35580687255333</v>
      </c>
      <c r="AY26" s="1">
        <f>AY7</f>
        <v>38.335635005882061</v>
      </c>
      <c r="BC26" s="1"/>
      <c r="BD26" s="1"/>
      <c r="BE26" s="4"/>
      <c r="BF26" s="1"/>
      <c r="BG26" s="1"/>
      <c r="CS26" s="5"/>
      <c r="CT26" s="5"/>
      <c r="CU26" s="5"/>
      <c r="CV26" s="5"/>
      <c r="CW26" s="5"/>
      <c r="CX26" s="5"/>
      <c r="CY26" s="5"/>
      <c r="CZ26" s="5"/>
      <c r="DA26" s="5"/>
    </row>
    <row r="27" spans="1:105" s="72" customFormat="1" x14ac:dyDescent="0.25">
      <c r="A27" s="128"/>
      <c r="B27" s="109"/>
      <c r="C27" s="109"/>
      <c r="D27" s="129"/>
      <c r="E27" s="5"/>
      <c r="F27" s="5"/>
      <c r="G27" s="62"/>
      <c r="H27" s="65"/>
      <c r="I27" s="68"/>
      <c r="J27" s="71"/>
      <c r="M27" s="57"/>
      <c r="N27" s="57"/>
      <c r="O27" s="57"/>
      <c r="P27" s="119"/>
      <c r="Q27" s="119"/>
      <c r="R27" s="119"/>
      <c r="S27" s="119"/>
      <c r="T27" s="119"/>
      <c r="U27" s="119"/>
      <c r="V27" s="119"/>
      <c r="W27" s="119"/>
      <c r="X27" s="2"/>
      <c r="Y27" s="119"/>
      <c r="Z27" s="119"/>
      <c r="AA27" s="119"/>
      <c r="AB27" s="119"/>
      <c r="AC27" s="122"/>
      <c r="AD27" s="119"/>
      <c r="AE27" s="119"/>
      <c r="AF27" s="119"/>
      <c r="AG27" s="119"/>
      <c r="AH27" s="119"/>
      <c r="AI27" s="119"/>
      <c r="AJ27" s="119"/>
      <c r="AK27" s="119"/>
      <c r="AL27" s="32"/>
      <c r="AM27" s="5"/>
      <c r="AN27" s="32"/>
      <c r="AO27" s="5"/>
      <c r="AP27" s="5"/>
      <c r="AQ27" s="5"/>
      <c r="AS27" s="1"/>
      <c r="AU27" s="102"/>
      <c r="AV27" s="4"/>
      <c r="AW27" s="4"/>
      <c r="AX27" s="102"/>
      <c r="AY27" s="1"/>
      <c r="AZ27" s="4">
        <f t="shared" ref="AZ27:BF27" si="58">AZ7</f>
        <v>283.83369420386413</v>
      </c>
      <c r="BA27" s="1">
        <f t="shared" si="58"/>
        <v>21.486387761322568</v>
      </c>
      <c r="BB27" s="4">
        <f t="shared" si="58"/>
        <v>348.82238456548106</v>
      </c>
      <c r="BC27" s="1">
        <f t="shared" si="58"/>
        <v>4.3478260869565215</v>
      </c>
      <c r="BD27" s="1">
        <f t="shared" si="58"/>
        <v>1.646754924120116</v>
      </c>
      <c r="BE27" s="4">
        <f t="shared" si="58"/>
        <v>804.38670492384927</v>
      </c>
      <c r="BF27" s="1">
        <f t="shared" si="58"/>
        <v>47.96273623461267</v>
      </c>
      <c r="BG27" s="1"/>
      <c r="BH27" s="3"/>
      <c r="BI27" s="3"/>
      <c r="BJ27" s="101"/>
      <c r="BK27" s="2"/>
      <c r="BL27" s="2"/>
      <c r="BM27" s="3"/>
      <c r="BN27" s="101"/>
      <c r="BO27" s="101"/>
      <c r="BP27" s="101"/>
      <c r="BQ27" s="101"/>
      <c r="BR27" s="101"/>
      <c r="BS27" s="101"/>
      <c r="BT27" s="101"/>
      <c r="BU27" s="101"/>
      <c r="BV27" s="3"/>
      <c r="BW27" s="101"/>
      <c r="BX27" s="101"/>
      <c r="BY27" s="101"/>
      <c r="BZ27" s="101"/>
      <c r="CA27" s="101"/>
      <c r="CB27" s="101"/>
      <c r="CC27" s="101"/>
      <c r="CD27" s="101"/>
      <c r="CE27" s="3"/>
      <c r="CF27" s="105"/>
      <c r="CG27" s="106"/>
      <c r="CH27" s="106"/>
      <c r="CS27" s="5"/>
      <c r="CT27" s="5"/>
      <c r="CU27" s="5"/>
      <c r="CV27" s="5"/>
      <c r="CW27" s="5"/>
      <c r="CX27" s="5"/>
      <c r="CY27" s="5"/>
      <c r="CZ27" s="5"/>
      <c r="DA27" s="5"/>
    </row>
    <row r="28" spans="1:105" s="72" customFormat="1" x14ac:dyDescent="0.25">
      <c r="A28" s="128"/>
      <c r="B28" s="109"/>
      <c r="C28" s="109"/>
      <c r="D28" s="129"/>
      <c r="E28" s="5"/>
      <c r="F28" s="5"/>
      <c r="G28" s="62"/>
      <c r="H28" s="65"/>
      <c r="I28" s="68"/>
      <c r="J28" s="71"/>
      <c r="M28" s="57"/>
      <c r="N28" s="57"/>
      <c r="O28" s="57"/>
      <c r="P28" s="119"/>
      <c r="Q28" s="119"/>
      <c r="R28" s="119"/>
      <c r="S28" s="119"/>
      <c r="T28" s="119"/>
      <c r="U28" s="119"/>
      <c r="V28" s="119"/>
      <c r="W28" s="119"/>
      <c r="X28" s="2"/>
      <c r="Y28" s="119"/>
      <c r="Z28" s="119"/>
      <c r="AA28" s="119"/>
      <c r="AB28" s="119"/>
      <c r="AC28" s="122"/>
      <c r="AD28" s="119"/>
      <c r="AE28" s="119"/>
      <c r="AF28" s="119"/>
      <c r="AG28" s="119"/>
      <c r="AH28" s="119"/>
      <c r="AI28" s="119"/>
      <c r="AJ28" s="119"/>
      <c r="AK28" s="119"/>
      <c r="AL28" s="32"/>
      <c r="AM28" s="5"/>
      <c r="AN28" s="32"/>
      <c r="AO28" s="5"/>
      <c r="AP28" s="5"/>
      <c r="AQ28" s="5"/>
      <c r="AS28" s="1"/>
      <c r="AT28" s="5"/>
      <c r="AU28" s="102"/>
      <c r="AV28" s="4"/>
      <c r="AW28" s="4"/>
      <c r="AX28" s="102"/>
      <c r="AY28" s="1"/>
      <c r="AZ28" s="4"/>
      <c r="BA28" s="1"/>
      <c r="BB28" s="4"/>
      <c r="BC28" s="1"/>
      <c r="BD28" s="1"/>
      <c r="BE28" s="4"/>
      <c r="BF28" s="1"/>
      <c r="BG28" s="1"/>
      <c r="BH28" s="3"/>
      <c r="BI28" s="3"/>
      <c r="BJ28" s="101"/>
      <c r="BK28" s="2"/>
      <c r="BL28" s="2"/>
      <c r="BM28" s="3"/>
      <c r="BN28" s="101"/>
      <c r="BO28" s="101"/>
      <c r="BP28" s="101"/>
      <c r="BQ28" s="101"/>
      <c r="BR28" s="101"/>
      <c r="BS28" s="101"/>
      <c r="BT28" s="101"/>
      <c r="BU28" s="101"/>
      <c r="BV28" s="3"/>
      <c r="BW28" s="101"/>
      <c r="BX28" s="101"/>
      <c r="BY28" s="101"/>
      <c r="BZ28" s="101"/>
      <c r="CA28" s="101"/>
      <c r="CB28" s="101"/>
      <c r="CC28" s="101"/>
      <c r="CD28" s="101"/>
      <c r="CE28" s="3"/>
      <c r="CF28" s="105"/>
      <c r="CG28" s="106"/>
      <c r="CH28" s="106"/>
      <c r="CS28" s="5"/>
      <c r="CT28" s="5"/>
      <c r="CU28" s="5"/>
      <c r="CV28" s="5"/>
      <c r="CW28" s="5"/>
      <c r="CX28" s="5"/>
      <c r="CY28" s="5"/>
      <c r="CZ28" s="5"/>
      <c r="DA28" s="5"/>
    </row>
    <row r="29" spans="1:105" x14ac:dyDescent="0.25">
      <c r="A29" s="128"/>
      <c r="B29" s="109"/>
      <c r="C29" s="109"/>
      <c r="D29" s="129"/>
      <c r="E29" s="5"/>
      <c r="F29" s="5"/>
      <c r="G29" s="62"/>
      <c r="H29" s="65"/>
      <c r="I29" s="68"/>
      <c r="J29" s="71"/>
      <c r="P29" s="119"/>
      <c r="S29" s="119"/>
      <c r="T29" s="119"/>
      <c r="U29" s="119"/>
      <c r="V29" s="119"/>
      <c r="W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K29" s="32"/>
      <c r="AM29" s="5"/>
      <c r="AO29" s="5"/>
      <c r="AP29" s="5"/>
      <c r="AQ29" s="5"/>
      <c r="AT29" s="109" t="str">
        <f>B8</f>
        <v>Årungen</v>
      </c>
      <c r="AU29" s="102">
        <f>AU8</f>
        <v>2.8183829312644466E-2</v>
      </c>
      <c r="AV29" s="4">
        <f>AV8</f>
        <v>1025.101052946754</v>
      </c>
      <c r="AW29" s="4">
        <f>AW8</f>
        <v>360.15136558078314</v>
      </c>
      <c r="AX29" s="4">
        <f>AX8</f>
        <v>623.35798173118746</v>
      </c>
      <c r="AY29" s="1">
        <f>AY8</f>
        <v>82.220858268119287</v>
      </c>
      <c r="AZ29" s="4"/>
      <c r="BC29" s="1"/>
      <c r="BD29" s="1"/>
      <c r="BE29" s="4"/>
      <c r="BF29" s="1"/>
      <c r="BG29" s="1"/>
      <c r="CS29" s="5"/>
      <c r="CT29" s="5"/>
      <c r="CU29" s="5"/>
      <c r="CV29" s="5"/>
      <c r="CW29" s="5"/>
      <c r="CX29" s="5"/>
      <c r="CY29" s="5"/>
      <c r="CZ29" s="5"/>
      <c r="DA29" s="5"/>
    </row>
    <row r="30" spans="1:105" s="72" customFormat="1" x14ac:dyDescent="0.25">
      <c r="A30" s="128"/>
      <c r="B30" s="109"/>
      <c r="C30" s="109"/>
      <c r="D30" s="129"/>
      <c r="E30" s="5"/>
      <c r="F30" s="5"/>
      <c r="G30" s="62"/>
      <c r="H30" s="65"/>
      <c r="I30" s="68"/>
      <c r="J30" s="71"/>
      <c r="M30" s="57"/>
      <c r="N30" s="57"/>
      <c r="O30" s="57"/>
      <c r="P30" s="119"/>
      <c r="Q30" s="119"/>
      <c r="R30" s="119"/>
      <c r="S30" s="119"/>
      <c r="T30" s="119"/>
      <c r="U30" s="119"/>
      <c r="V30" s="119"/>
      <c r="W30" s="119"/>
      <c r="X30" s="2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32"/>
      <c r="AL30" s="32"/>
      <c r="AM30" s="5"/>
      <c r="AN30" s="32"/>
      <c r="AO30" s="5"/>
      <c r="AP30" s="5"/>
      <c r="AQ30" s="5"/>
      <c r="AS30" s="1"/>
      <c r="AT30" s="5"/>
      <c r="AU30" s="102"/>
      <c r="AV30" s="4"/>
      <c r="AW30" s="4"/>
      <c r="AX30" s="102"/>
      <c r="AY30" s="1"/>
      <c r="AZ30" s="4">
        <f t="shared" ref="AZ30:BF30" si="59">AZ8</f>
        <v>299.31712191872083</v>
      </c>
      <c r="BA30" s="1">
        <f t="shared" si="59"/>
        <v>93.570533506862958</v>
      </c>
      <c r="BB30" s="4">
        <f t="shared" si="59"/>
        <v>869.66688291540902</v>
      </c>
      <c r="BC30" s="1">
        <f t="shared" si="59"/>
        <v>14.548899884198335</v>
      </c>
      <c r="BD30" s="1">
        <f t="shared" si="59"/>
        <v>1.2592831772683242</v>
      </c>
      <c r="BE30" s="4">
        <f t="shared" si="59"/>
        <v>1087.2379605889178</v>
      </c>
      <c r="BF30" s="1">
        <f t="shared" si="59"/>
        <v>33.046027373677809</v>
      </c>
      <c r="BG30" s="1"/>
      <c r="BH30" s="3"/>
      <c r="BI30" s="3"/>
      <c r="BJ30" s="101"/>
      <c r="BK30" s="2"/>
      <c r="BL30" s="2"/>
      <c r="BM30" s="3"/>
      <c r="BN30" s="101"/>
      <c r="BO30" s="101"/>
      <c r="BP30" s="101"/>
      <c r="BQ30" s="101"/>
      <c r="BR30" s="101"/>
      <c r="BS30" s="101"/>
      <c r="BT30" s="101"/>
      <c r="BU30" s="101"/>
      <c r="BV30" s="3"/>
      <c r="BW30" s="101"/>
      <c r="BX30" s="101"/>
      <c r="BY30" s="101"/>
      <c r="BZ30" s="101"/>
      <c r="CA30" s="101"/>
      <c r="CB30" s="101"/>
      <c r="CC30" s="101"/>
      <c r="CD30" s="101"/>
      <c r="CE30" s="3"/>
      <c r="CF30" s="105"/>
      <c r="CG30" s="106"/>
      <c r="CH30" s="106"/>
      <c r="CS30" s="5"/>
      <c r="CT30" s="5"/>
      <c r="CU30" s="5"/>
      <c r="CV30" s="5"/>
      <c r="CW30" s="5"/>
      <c r="CX30" s="5"/>
      <c r="CY30" s="5"/>
      <c r="CZ30" s="5"/>
      <c r="DA30" s="5"/>
    </row>
    <row r="31" spans="1:105" s="72" customFormat="1" x14ac:dyDescent="0.25">
      <c r="A31" s="128"/>
      <c r="B31" s="109"/>
      <c r="C31" s="109"/>
      <c r="D31" s="129"/>
      <c r="E31" s="5"/>
      <c r="F31" s="5"/>
      <c r="G31" s="62"/>
      <c r="H31" s="65"/>
      <c r="I31" s="68"/>
      <c r="J31" s="71"/>
      <c r="M31" s="57"/>
      <c r="N31" s="57"/>
      <c r="O31" s="57"/>
      <c r="P31" s="119"/>
      <c r="Q31" s="119"/>
      <c r="R31" s="119"/>
      <c r="S31" s="119"/>
      <c r="T31" s="119"/>
      <c r="U31" s="119"/>
      <c r="V31" s="119"/>
      <c r="W31" s="119"/>
      <c r="X31" s="2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32"/>
      <c r="AL31" s="32"/>
      <c r="AM31" s="5"/>
      <c r="AN31" s="32"/>
      <c r="AO31" s="5"/>
      <c r="AP31" s="5"/>
      <c r="AQ31" s="5"/>
      <c r="AS31" s="1"/>
      <c r="AT31" s="5"/>
      <c r="AU31" s="102"/>
      <c r="AV31" s="4"/>
      <c r="AW31" s="4"/>
      <c r="AX31" s="102"/>
      <c r="AY31" s="1"/>
      <c r="AZ31" s="4"/>
      <c r="BA31" s="1"/>
      <c r="BB31" s="4"/>
      <c r="BC31" s="1"/>
      <c r="BD31" s="1"/>
      <c r="BE31" s="4"/>
      <c r="BF31" s="1"/>
      <c r="BG31" s="1"/>
      <c r="BH31" s="3"/>
      <c r="BI31" s="3"/>
      <c r="BJ31" s="101"/>
      <c r="BK31" s="2"/>
      <c r="BL31" s="2"/>
      <c r="BM31" s="3"/>
      <c r="BN31" s="101"/>
      <c r="BO31" s="101"/>
      <c r="BP31" s="101"/>
      <c r="BQ31" s="101"/>
      <c r="BR31" s="101"/>
      <c r="BS31" s="101"/>
      <c r="BT31" s="101"/>
      <c r="BU31" s="101"/>
      <c r="BV31" s="3"/>
      <c r="BW31" s="101"/>
      <c r="BX31" s="101"/>
      <c r="BY31" s="101"/>
      <c r="BZ31" s="101"/>
      <c r="CA31" s="101"/>
      <c r="CB31" s="101"/>
      <c r="CC31" s="101"/>
      <c r="CD31" s="101"/>
      <c r="CE31" s="3"/>
      <c r="CF31" s="105"/>
      <c r="CG31" s="106"/>
      <c r="CH31" s="106"/>
      <c r="CS31" s="5"/>
      <c r="CT31" s="5"/>
      <c r="CU31" s="5"/>
      <c r="CV31" s="5"/>
      <c r="CW31" s="5"/>
      <c r="CX31" s="5"/>
      <c r="CY31" s="5"/>
      <c r="CZ31" s="5"/>
      <c r="DA31" s="5"/>
    </row>
    <row r="32" spans="1:105" x14ac:dyDescent="0.25">
      <c r="A32" s="128"/>
      <c r="B32" s="109"/>
      <c r="C32" s="109"/>
      <c r="D32" s="129"/>
      <c r="E32" s="42"/>
      <c r="P32" s="119"/>
      <c r="S32" s="119"/>
      <c r="T32" s="119"/>
      <c r="U32" s="119"/>
      <c r="V32" s="119"/>
      <c r="W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K32" s="32"/>
      <c r="AM32" s="5"/>
      <c r="AO32" s="5"/>
      <c r="AP32" s="5"/>
      <c r="AQ32" s="5"/>
      <c r="AT32" s="109" t="str">
        <f>B9</f>
        <v>Maridalsvannet</v>
      </c>
      <c r="AU32" s="102">
        <f>AU9</f>
        <v>0.13489628825916511</v>
      </c>
      <c r="AV32" s="4">
        <f>AV9</f>
        <v>107.1909775936923</v>
      </c>
      <c r="AW32" s="4">
        <f>AW9</f>
        <v>138.94373149062193</v>
      </c>
      <c r="AX32" s="4">
        <f>AX9</f>
        <v>61.85297955632884</v>
      </c>
      <c r="AY32" s="1">
        <f>AY9</f>
        <v>11.406066185872847</v>
      </c>
      <c r="AZ32" s="4"/>
      <c r="BC32" s="1"/>
      <c r="BD32" s="1"/>
      <c r="BE32" s="4"/>
      <c r="BF32" s="1"/>
      <c r="BG32" s="1"/>
      <c r="CS32" s="5"/>
      <c r="CT32" s="5"/>
      <c r="CU32" s="5"/>
      <c r="CV32" s="5"/>
      <c r="CW32" s="5"/>
      <c r="CX32" s="5"/>
      <c r="CY32" s="5"/>
      <c r="CZ32" s="5"/>
      <c r="DA32" s="5"/>
    </row>
    <row r="33" spans="1:105" s="72" customFormat="1" x14ac:dyDescent="0.25">
      <c r="A33" s="128"/>
      <c r="B33" s="109"/>
      <c r="C33" s="109"/>
      <c r="D33" s="129"/>
      <c r="E33" s="42"/>
      <c r="F33" s="42"/>
      <c r="G33" s="5"/>
      <c r="H33" s="5"/>
      <c r="I33" s="62"/>
      <c r="J33" s="65"/>
      <c r="K33" s="68"/>
      <c r="L33" s="71"/>
      <c r="M33" s="57"/>
      <c r="N33" s="57"/>
      <c r="O33" s="57"/>
      <c r="P33" s="119"/>
      <c r="Q33" s="119"/>
      <c r="R33" s="119"/>
      <c r="S33" s="119"/>
      <c r="T33" s="119"/>
      <c r="U33" s="119"/>
      <c r="V33" s="119"/>
      <c r="W33" s="119"/>
      <c r="X33" s="2"/>
      <c r="Y33" s="119"/>
      <c r="Z33" s="135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32"/>
      <c r="AL33" s="32"/>
      <c r="AM33" s="5"/>
      <c r="AN33" s="32"/>
      <c r="AO33" s="5"/>
      <c r="AP33" s="5"/>
      <c r="AQ33" s="5"/>
      <c r="AS33" s="1"/>
      <c r="AT33" s="5"/>
      <c r="AU33" s="102"/>
      <c r="AV33" s="4"/>
      <c r="AW33" s="4"/>
      <c r="AX33" s="102"/>
      <c r="AY33" s="1"/>
      <c r="AZ33" s="4">
        <f t="shared" ref="AZ33:BF33" si="60">AZ9</f>
        <v>38.603431045969359</v>
      </c>
      <c r="BA33" s="1">
        <f t="shared" si="60"/>
        <v>10.079555918957146</v>
      </c>
      <c r="BB33" s="4">
        <f t="shared" si="60"/>
        <v>52.020985530138489</v>
      </c>
      <c r="BC33" s="1">
        <f t="shared" si="60"/>
        <v>2.5739551531740181</v>
      </c>
      <c r="BD33" s="1">
        <f t="shared" si="60"/>
        <v>0.96867936712948011</v>
      </c>
      <c r="BE33" s="4">
        <f t="shared" si="60"/>
        <v>92.79046703439333</v>
      </c>
      <c r="BF33" s="1">
        <f t="shared" si="60"/>
        <v>23.653447858664666</v>
      </c>
      <c r="BG33" s="1"/>
      <c r="BH33" s="3"/>
      <c r="BI33" s="3"/>
      <c r="BJ33" s="101"/>
      <c r="BK33" s="2"/>
      <c r="BL33" s="2"/>
      <c r="BM33" s="3"/>
      <c r="BN33" s="101"/>
      <c r="BO33" s="101"/>
      <c r="BP33" s="101"/>
      <c r="BQ33" s="101"/>
      <c r="BR33" s="101"/>
      <c r="BS33" s="101"/>
      <c r="BT33" s="101"/>
      <c r="BU33" s="101"/>
      <c r="BV33" s="3"/>
      <c r="BW33" s="101"/>
      <c r="BX33" s="101"/>
      <c r="BY33" s="101"/>
      <c r="BZ33" s="101"/>
      <c r="CA33" s="101"/>
      <c r="CB33" s="101"/>
      <c r="CC33" s="101"/>
      <c r="CD33" s="101"/>
      <c r="CE33" s="3"/>
      <c r="CF33" s="105"/>
      <c r="CG33" s="106"/>
      <c r="CH33" s="106"/>
      <c r="CS33" s="5"/>
      <c r="CT33" s="5"/>
      <c r="CU33" s="5"/>
      <c r="CV33" s="5"/>
      <c r="CW33" s="5"/>
      <c r="CX33" s="5"/>
      <c r="CY33" s="5"/>
      <c r="CZ33" s="5"/>
      <c r="DA33" s="5"/>
    </row>
    <row r="34" spans="1:105" s="72" customFormat="1" x14ac:dyDescent="0.25">
      <c r="A34" s="128"/>
      <c r="B34" s="109"/>
      <c r="C34" s="109"/>
      <c r="D34" s="129"/>
      <c r="E34" s="42"/>
      <c r="F34" s="42"/>
      <c r="G34" s="5"/>
      <c r="H34" s="5"/>
      <c r="I34" s="62"/>
      <c r="J34" s="65"/>
      <c r="K34" s="68"/>
      <c r="L34" s="71"/>
      <c r="M34" s="57"/>
      <c r="N34" s="57"/>
      <c r="O34" s="57"/>
      <c r="P34" s="119"/>
      <c r="Q34" s="119"/>
      <c r="R34" s="119"/>
      <c r="S34" s="119"/>
      <c r="T34" s="119"/>
      <c r="U34" s="119"/>
      <c r="V34" s="119"/>
      <c r="W34" s="119"/>
      <c r="X34" s="2"/>
      <c r="Y34" s="119"/>
      <c r="Z34" s="135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32"/>
      <c r="AL34" s="32"/>
      <c r="AM34" s="5"/>
      <c r="AN34" s="32"/>
      <c r="AO34" s="5"/>
      <c r="AP34" s="5"/>
      <c r="AQ34" s="5"/>
      <c r="AS34" s="1"/>
      <c r="AT34" s="5"/>
      <c r="AU34" s="102"/>
      <c r="AV34" s="4"/>
      <c r="AW34" s="4"/>
      <c r="AX34" s="102"/>
      <c r="AY34" s="1"/>
      <c r="AZ34" s="4"/>
      <c r="BA34" s="1"/>
      <c r="BB34" s="4"/>
      <c r="BC34" s="1"/>
      <c r="BD34" s="1"/>
      <c r="BE34" s="4"/>
      <c r="BF34" s="1"/>
      <c r="BG34" s="1"/>
      <c r="BH34" s="3"/>
      <c r="BI34" s="3"/>
      <c r="BJ34" s="101"/>
      <c r="BK34" s="2"/>
      <c r="BL34" s="2"/>
      <c r="BM34" s="3"/>
      <c r="BN34" s="101"/>
      <c r="BO34" s="101"/>
      <c r="BP34" s="101"/>
      <c r="BQ34" s="101"/>
      <c r="BR34" s="101"/>
      <c r="BS34" s="101"/>
      <c r="BT34" s="101"/>
      <c r="BU34" s="101"/>
      <c r="BV34" s="3"/>
      <c r="BW34" s="101"/>
      <c r="BX34" s="101"/>
      <c r="BY34" s="101"/>
      <c r="BZ34" s="101"/>
      <c r="CA34" s="101"/>
      <c r="CB34" s="101"/>
      <c r="CC34" s="101"/>
      <c r="CD34" s="101"/>
      <c r="CE34" s="3"/>
      <c r="CF34" s="105"/>
      <c r="CG34" s="106"/>
      <c r="CH34" s="106"/>
      <c r="CS34" s="5"/>
      <c r="CT34" s="5"/>
      <c r="CU34" s="5"/>
      <c r="CV34" s="5"/>
      <c r="CW34" s="5"/>
      <c r="CX34" s="5"/>
      <c r="CY34" s="5"/>
      <c r="CZ34" s="5"/>
      <c r="DA34" s="5"/>
    </row>
    <row r="35" spans="1:105" x14ac:dyDescent="0.25">
      <c r="A35" s="128"/>
      <c r="B35" s="109"/>
      <c r="C35" s="109"/>
      <c r="D35" s="129"/>
      <c r="E35" s="42"/>
      <c r="P35" s="119"/>
      <c r="S35" s="119"/>
      <c r="T35" s="119"/>
      <c r="U35" s="119"/>
      <c r="V35" s="119"/>
      <c r="W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K35" s="32"/>
      <c r="AM35" s="5"/>
      <c r="AO35" s="5"/>
      <c r="AP35" s="5"/>
      <c r="AQ35" s="5"/>
      <c r="AT35" s="109" t="str">
        <f>B10</f>
        <v>Akerselva</v>
      </c>
      <c r="AU35" s="102">
        <f>AU10</f>
        <v>6.3095734448019178E-2</v>
      </c>
      <c r="AV35" s="4">
        <f>AV10</f>
        <v>181.54598532860919</v>
      </c>
      <c r="AW35" s="4">
        <f>AW10</f>
        <v>77.65712405396512</v>
      </c>
      <c r="AX35" s="4">
        <f>AX10</f>
        <v>135.6241844280122</v>
      </c>
      <c r="AY35" s="1">
        <f>AY10</f>
        <v>15.165464682113447</v>
      </c>
      <c r="AZ35" s="4"/>
      <c r="BC35" s="1"/>
      <c r="BD35" s="1"/>
      <c r="BE35" s="4"/>
      <c r="BF35" s="1"/>
      <c r="BG35" s="1"/>
      <c r="CS35" s="5"/>
      <c r="CT35" s="5"/>
      <c r="CU35" s="5"/>
      <c r="CV35" s="5"/>
      <c r="CW35" s="5"/>
      <c r="CX35" s="5"/>
      <c r="CY35" s="5"/>
      <c r="CZ35" s="5"/>
      <c r="DA35" s="5"/>
    </row>
    <row r="36" spans="1:105" s="72" customFormat="1" x14ac:dyDescent="0.25">
      <c r="A36" s="128"/>
      <c r="B36" s="109"/>
      <c r="C36" s="109"/>
      <c r="D36" s="129"/>
      <c r="E36" s="42"/>
      <c r="F36" s="42"/>
      <c r="G36" s="5"/>
      <c r="H36" s="5"/>
      <c r="I36" s="62"/>
      <c r="J36" s="65"/>
      <c r="K36" s="68"/>
      <c r="L36" s="71"/>
      <c r="M36" s="57"/>
      <c r="N36" s="57"/>
      <c r="O36" s="57"/>
      <c r="P36" s="119"/>
      <c r="Q36" s="119"/>
      <c r="R36" s="119"/>
      <c r="S36" s="119"/>
      <c r="T36" s="119"/>
      <c r="U36" s="119"/>
      <c r="V36" s="119"/>
      <c r="W36" s="119"/>
      <c r="X36" s="2"/>
      <c r="Y36" s="119"/>
      <c r="Z36" s="135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32"/>
      <c r="AL36" s="32"/>
      <c r="AM36" s="5"/>
      <c r="AN36" s="32"/>
      <c r="AO36" s="5"/>
      <c r="AP36" s="5"/>
      <c r="AQ36" s="5"/>
      <c r="AS36" s="1"/>
      <c r="AT36" s="5"/>
      <c r="AU36" s="102"/>
      <c r="AV36" s="4"/>
      <c r="AW36" s="4"/>
      <c r="AX36" s="102"/>
      <c r="AY36" s="1"/>
      <c r="AZ36" s="4">
        <f t="shared" ref="AZ36:BF36" si="61">AZ10</f>
        <v>71.108844103930721</v>
      </c>
      <c r="BA36" s="1">
        <f t="shared" si="61"/>
        <v>10.244054271554525</v>
      </c>
      <c r="BB36" s="4">
        <f t="shared" si="61"/>
        <v>167.00984401884185</v>
      </c>
      <c r="BC36" s="1">
        <f t="shared" si="61"/>
        <v>3.0476892304453096</v>
      </c>
      <c r="BD36" s="1">
        <f t="shared" si="61"/>
        <v>0.77494349370358417</v>
      </c>
      <c r="BE36" s="4">
        <f t="shared" si="61"/>
        <v>174.99145251504308</v>
      </c>
      <c r="BF36" s="1">
        <f t="shared" si="61"/>
        <v>22.34565427618988</v>
      </c>
      <c r="BG36" s="1"/>
      <c r="BH36" s="3"/>
      <c r="BI36" s="3"/>
      <c r="BJ36" s="101"/>
      <c r="BK36" s="2"/>
      <c r="BL36" s="2"/>
      <c r="BM36" s="3"/>
      <c r="BN36" s="101"/>
      <c r="BO36" s="101"/>
      <c r="BP36" s="101"/>
      <c r="BQ36" s="101"/>
      <c r="BR36" s="101"/>
      <c r="BS36" s="101"/>
      <c r="BT36" s="101"/>
      <c r="BU36" s="101"/>
      <c r="BV36" s="3"/>
      <c r="BW36" s="101"/>
      <c r="BX36" s="101"/>
      <c r="BY36" s="101"/>
      <c r="BZ36" s="101"/>
      <c r="CA36" s="101"/>
      <c r="CB36" s="101"/>
      <c r="CC36" s="101"/>
      <c r="CD36" s="101"/>
      <c r="CE36" s="3"/>
      <c r="CF36" s="105"/>
      <c r="CG36" s="106"/>
      <c r="CH36" s="106"/>
      <c r="CS36" s="5"/>
      <c r="CT36" s="5"/>
      <c r="CU36" s="5"/>
      <c r="CV36" s="5"/>
      <c r="CW36" s="5"/>
      <c r="CX36" s="5"/>
      <c r="CY36" s="5"/>
      <c r="CZ36" s="5"/>
      <c r="DA36" s="5"/>
    </row>
    <row r="37" spans="1:105" x14ac:dyDescent="0.25">
      <c r="A37" s="128"/>
      <c r="B37" s="109"/>
      <c r="C37" s="109"/>
      <c r="D37" s="129"/>
      <c r="E37" s="42"/>
      <c r="P37" s="119"/>
      <c r="S37" s="119"/>
      <c r="T37" s="119"/>
      <c r="U37" s="119"/>
      <c r="V37" s="119"/>
      <c r="W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K37" s="32"/>
      <c r="AM37" s="5"/>
      <c r="AO37" s="5"/>
      <c r="AP37" s="5"/>
      <c r="AQ37" s="5"/>
      <c r="AT37" s="5"/>
      <c r="AU37" s="102"/>
      <c r="AV37" s="4"/>
      <c r="AW37" s="102"/>
      <c r="AX37" s="102"/>
      <c r="AY37" s="102"/>
      <c r="AZ37" s="4"/>
      <c r="BC37" s="1"/>
      <c r="BD37" s="1"/>
      <c r="BE37" s="4"/>
      <c r="BF37" s="1"/>
      <c r="BG37" s="1"/>
      <c r="CS37" s="5"/>
      <c r="CT37" s="5"/>
      <c r="CU37" s="5"/>
      <c r="CV37" s="5"/>
      <c r="CW37" s="5"/>
      <c r="CX37" s="5"/>
      <c r="CY37" s="5"/>
      <c r="CZ37" s="5"/>
      <c r="DA37" s="5"/>
    </row>
    <row r="38" spans="1:105" x14ac:dyDescent="0.25">
      <c r="A38" s="128"/>
      <c r="B38" s="109"/>
      <c r="C38" s="109"/>
      <c r="D38" s="129"/>
      <c r="E38" s="42"/>
      <c r="P38" s="119"/>
      <c r="S38" s="119"/>
      <c r="T38" s="119"/>
      <c r="U38" s="119"/>
      <c r="V38" s="119"/>
      <c r="W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K38" s="32"/>
      <c r="AM38" s="5"/>
      <c r="AO38" s="5"/>
      <c r="AP38" s="5"/>
      <c r="AQ38" s="5"/>
      <c r="AT38" s="109" t="str">
        <f>B11</f>
        <v>Gjersjøen</v>
      </c>
      <c r="AU38" s="102">
        <f>AU11</f>
        <v>3.5481338923357426E-2</v>
      </c>
      <c r="AV38" s="4">
        <f>AV11</f>
        <v>990.11926742851438</v>
      </c>
      <c r="AW38" s="1">
        <f>AW11</f>
        <v>237.57815070746955</v>
      </c>
      <c r="AX38" s="4">
        <f>AX11</f>
        <v>644.28012179208349</v>
      </c>
      <c r="AY38" s="102">
        <f>AY11</f>
        <v>105.1352871975858</v>
      </c>
      <c r="BC38" s="1"/>
      <c r="BD38" s="1"/>
      <c r="BE38" s="4"/>
      <c r="BF38" s="1"/>
      <c r="BG38" s="1"/>
      <c r="CS38" s="5"/>
      <c r="CT38" s="5"/>
      <c r="CU38" s="5"/>
      <c r="CV38" s="5"/>
      <c r="CW38" s="5"/>
      <c r="CX38" s="5"/>
      <c r="CY38" s="5"/>
      <c r="CZ38" s="5"/>
      <c r="DA38" s="5"/>
    </row>
    <row r="39" spans="1:105" s="72" customFormat="1" x14ac:dyDescent="0.25">
      <c r="A39" s="128"/>
      <c r="B39" s="109"/>
      <c r="C39" s="109"/>
      <c r="D39" s="129"/>
      <c r="E39" s="42"/>
      <c r="F39" s="42"/>
      <c r="G39" s="5"/>
      <c r="H39" s="5"/>
      <c r="I39" s="62"/>
      <c r="J39" s="65"/>
      <c r="K39" s="68"/>
      <c r="L39" s="71"/>
      <c r="M39" s="57"/>
      <c r="N39" s="57"/>
      <c r="O39" s="57"/>
      <c r="P39" s="119"/>
      <c r="Q39" s="119"/>
      <c r="R39" s="119"/>
      <c r="S39" s="119"/>
      <c r="T39" s="119"/>
      <c r="U39" s="119"/>
      <c r="V39" s="119"/>
      <c r="W39" s="119"/>
      <c r="X39" s="2"/>
      <c r="Y39" s="119"/>
      <c r="Z39" s="135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32"/>
      <c r="AL39" s="32"/>
      <c r="AM39" s="5"/>
      <c r="AN39" s="32"/>
      <c r="AO39" s="5"/>
      <c r="AP39" s="5"/>
      <c r="AQ39" s="5"/>
      <c r="AS39" s="1"/>
      <c r="AT39" s="5"/>
      <c r="AU39" s="102"/>
      <c r="AV39" s="4"/>
      <c r="AW39" s="102"/>
      <c r="AX39" s="102"/>
      <c r="AY39" s="102"/>
      <c r="AZ39" s="1">
        <f t="shared" ref="AZ39:BF39" si="62">AZ11</f>
        <v>389.35084943371089</v>
      </c>
      <c r="BA39" s="1">
        <f t="shared" si="62"/>
        <v>46.277257135116038</v>
      </c>
      <c r="BB39" s="4">
        <f t="shared" si="62"/>
        <v>885.91374495811351</v>
      </c>
      <c r="BC39" s="1">
        <f t="shared" si="62"/>
        <v>47.262869775765864</v>
      </c>
      <c r="BD39" s="1">
        <f t="shared" si="62"/>
        <v>1.1624152405553763</v>
      </c>
      <c r="BE39" s="4">
        <f t="shared" si="62"/>
        <v>882.5810401491342</v>
      </c>
      <c r="BF39" s="1">
        <f t="shared" si="62"/>
        <v>67.768915225513211</v>
      </c>
      <c r="BG39" s="1"/>
      <c r="BH39" s="3"/>
      <c r="BI39" s="3"/>
      <c r="BJ39" s="101"/>
      <c r="BK39" s="2"/>
      <c r="BL39" s="2"/>
      <c r="BM39" s="3"/>
      <c r="BN39" s="101"/>
      <c r="BO39" s="101"/>
      <c r="BP39" s="101"/>
      <c r="BQ39" s="101"/>
      <c r="BR39" s="101"/>
      <c r="BS39" s="101"/>
      <c r="BT39" s="101"/>
      <c r="BU39" s="101"/>
      <c r="BV39" s="3"/>
      <c r="BW39" s="101"/>
      <c r="BX39" s="101"/>
      <c r="BY39" s="101"/>
      <c r="BZ39" s="101"/>
      <c r="CA39" s="101"/>
      <c r="CB39" s="101"/>
      <c r="CC39" s="101"/>
      <c r="CD39" s="101"/>
      <c r="CE39" s="3"/>
      <c r="CF39" s="105"/>
      <c r="CG39" s="106"/>
      <c r="CH39" s="106"/>
      <c r="CS39" s="5"/>
      <c r="CT39" s="5"/>
      <c r="CU39" s="5"/>
      <c r="CV39" s="5"/>
      <c r="CW39" s="5"/>
      <c r="CX39" s="5"/>
      <c r="CY39" s="5"/>
      <c r="CZ39" s="5"/>
      <c r="DA39" s="5"/>
    </row>
    <row r="40" spans="1:105" s="72" customFormat="1" x14ac:dyDescent="0.25">
      <c r="A40" s="128"/>
      <c r="B40" s="109"/>
      <c r="C40" s="109"/>
      <c r="D40" s="129"/>
      <c r="E40" s="42"/>
      <c r="F40" s="42"/>
      <c r="G40" s="5"/>
      <c r="H40" s="5"/>
      <c r="I40" s="62"/>
      <c r="J40" s="65"/>
      <c r="K40" s="68"/>
      <c r="L40" s="71"/>
      <c r="M40" s="57"/>
      <c r="N40" s="57"/>
      <c r="O40" s="57"/>
      <c r="P40" s="119"/>
      <c r="Q40" s="119"/>
      <c r="R40" s="119"/>
      <c r="S40" s="119"/>
      <c r="T40" s="119"/>
      <c r="U40" s="119"/>
      <c r="V40" s="119"/>
      <c r="W40" s="119"/>
      <c r="X40" s="2"/>
      <c r="Y40" s="119"/>
      <c r="Z40" s="135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32"/>
      <c r="AL40" s="32"/>
      <c r="AM40" s="5"/>
      <c r="AN40" s="32"/>
      <c r="AO40" s="5"/>
      <c r="AP40" s="5"/>
      <c r="AQ40" s="5"/>
      <c r="AS40" s="1"/>
      <c r="AT40" s="5"/>
      <c r="AU40" s="102"/>
      <c r="AV40" s="4"/>
      <c r="AW40" s="102"/>
      <c r="AX40" s="102"/>
      <c r="AY40" s="102"/>
      <c r="AZ40" s="1"/>
      <c r="BA40" s="1"/>
      <c r="BB40" s="1"/>
      <c r="BC40" s="1"/>
      <c r="BD40" s="1"/>
      <c r="BE40" s="4"/>
      <c r="BF40" s="1"/>
      <c r="BG40" s="1"/>
      <c r="BH40" s="3"/>
      <c r="BI40" s="3"/>
      <c r="BJ40" s="101"/>
      <c r="BK40" s="2"/>
      <c r="BL40" s="2"/>
      <c r="BM40" s="3"/>
      <c r="BN40" s="101"/>
      <c r="BO40" s="101"/>
      <c r="BP40" s="101"/>
      <c r="BQ40" s="101"/>
      <c r="BR40" s="101"/>
      <c r="BS40" s="101"/>
      <c r="BT40" s="101"/>
      <c r="BU40" s="101"/>
      <c r="BV40" s="3"/>
      <c r="BW40" s="101"/>
      <c r="BX40" s="101"/>
      <c r="BY40" s="101"/>
      <c r="BZ40" s="101"/>
      <c r="CA40" s="101"/>
      <c r="CB40" s="101"/>
      <c r="CC40" s="101"/>
      <c r="CD40" s="101"/>
      <c r="CE40" s="3"/>
      <c r="CF40" s="105"/>
      <c r="CG40" s="106"/>
      <c r="CH40" s="106"/>
      <c r="CS40" s="5"/>
      <c r="CT40" s="5"/>
      <c r="CU40" s="5"/>
      <c r="CV40" s="5"/>
      <c r="CW40" s="5"/>
      <c r="CX40" s="5"/>
      <c r="CY40" s="5"/>
      <c r="CZ40" s="5"/>
      <c r="DA40" s="5"/>
    </row>
    <row r="41" spans="1:105" x14ac:dyDescent="0.25">
      <c r="A41" s="128"/>
      <c r="B41" s="109"/>
      <c r="C41" s="109"/>
      <c r="D41" s="129"/>
      <c r="E41" s="42"/>
      <c r="P41" s="119"/>
      <c r="S41" s="119"/>
      <c r="T41" s="119"/>
      <c r="U41" s="119"/>
      <c r="V41" s="119"/>
      <c r="W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K41" s="32"/>
      <c r="AM41" s="5"/>
      <c r="AO41" s="5"/>
      <c r="AP41" s="5"/>
      <c r="AQ41" s="5"/>
      <c r="AT41" s="109" t="str">
        <f>B12</f>
        <v>Sværsvann</v>
      </c>
      <c r="AU41" s="102">
        <f>AU12</f>
        <v>0.3981071705534962</v>
      </c>
      <c r="AV41" s="1">
        <f>AV12</f>
        <v>214.53166325664955</v>
      </c>
      <c r="AW41" s="1">
        <f>AW12</f>
        <v>85.636722606120429</v>
      </c>
      <c r="AX41" s="102">
        <f>AX12</f>
        <v>209.09090909090912</v>
      </c>
      <c r="AY41" s="102">
        <f>AY12</f>
        <v>20.945220193340493</v>
      </c>
      <c r="BB41" s="1"/>
      <c r="BC41" s="1"/>
      <c r="BD41" s="1"/>
      <c r="BE41" s="4"/>
      <c r="BF41" s="1"/>
      <c r="BG41" s="1"/>
      <c r="CS41" s="5"/>
      <c r="CT41" s="5"/>
      <c r="CU41" s="5"/>
      <c r="CV41" s="5"/>
      <c r="CW41" s="5"/>
      <c r="CX41" s="5"/>
      <c r="CY41" s="5"/>
      <c r="CZ41" s="5"/>
      <c r="DA41" s="5"/>
    </row>
    <row r="42" spans="1:105" s="72" customFormat="1" x14ac:dyDescent="0.25">
      <c r="A42" s="128"/>
      <c r="B42" s="109"/>
      <c r="C42" s="109"/>
      <c r="D42" s="129"/>
      <c r="E42" s="42"/>
      <c r="F42" s="42"/>
      <c r="G42" s="5"/>
      <c r="H42" s="5"/>
      <c r="I42" s="62"/>
      <c r="J42" s="65"/>
      <c r="K42" s="68"/>
      <c r="L42" s="71"/>
      <c r="M42" s="57"/>
      <c r="N42" s="57"/>
      <c r="O42" s="57"/>
      <c r="P42" s="119"/>
      <c r="Q42" s="119"/>
      <c r="R42" s="119"/>
      <c r="S42" s="119"/>
      <c r="T42" s="119"/>
      <c r="U42" s="119"/>
      <c r="V42" s="119"/>
      <c r="W42" s="119"/>
      <c r="X42" s="2"/>
      <c r="Y42" s="119"/>
      <c r="Z42" s="135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32"/>
      <c r="AL42" s="32"/>
      <c r="AM42" s="5"/>
      <c r="AN42" s="32"/>
      <c r="AO42" s="5"/>
      <c r="AP42" s="5"/>
      <c r="AQ42" s="5"/>
      <c r="AS42" s="1"/>
      <c r="AT42" s="5"/>
      <c r="AU42" s="102"/>
      <c r="AV42" s="4"/>
      <c r="AW42" s="102"/>
      <c r="AX42" s="102"/>
      <c r="AY42" s="102"/>
      <c r="AZ42" s="1">
        <f t="shared" ref="AZ42:BF42" si="63">AZ12</f>
        <v>54.467854763491012</v>
      </c>
      <c r="BA42" s="1">
        <f t="shared" si="63"/>
        <v>4.6736884885020489</v>
      </c>
      <c r="BB42" s="1">
        <f t="shared" si="63"/>
        <v>238.81758948466981</v>
      </c>
      <c r="BC42" s="1">
        <f t="shared" si="63"/>
        <v>2.2160227392357088</v>
      </c>
      <c r="BD42" s="1">
        <f t="shared" si="63"/>
        <v>1.1624152405553763</v>
      </c>
      <c r="BE42" s="4">
        <f t="shared" si="63"/>
        <v>217.80097706716245</v>
      </c>
      <c r="BF42" s="1">
        <f t="shared" si="63"/>
        <v>45.131939188031552</v>
      </c>
      <c r="BG42" s="1"/>
      <c r="BH42" s="3"/>
      <c r="BI42" s="3"/>
      <c r="BJ42" s="101"/>
      <c r="BK42" s="2"/>
      <c r="BL42" s="2"/>
      <c r="BM42" s="3"/>
      <c r="BN42" s="101"/>
      <c r="BO42" s="101"/>
      <c r="BP42" s="101"/>
      <c r="BQ42" s="101"/>
      <c r="BR42" s="101"/>
      <c r="BS42" s="101"/>
      <c r="BT42" s="101"/>
      <c r="BU42" s="101"/>
      <c r="BV42" s="3"/>
      <c r="BW42" s="101"/>
      <c r="BX42" s="101"/>
      <c r="BY42" s="101"/>
      <c r="BZ42" s="101"/>
      <c r="CA42" s="101"/>
      <c r="CB42" s="101"/>
      <c r="CC42" s="101"/>
      <c r="CD42" s="101"/>
      <c r="CE42" s="3"/>
      <c r="CF42" s="105"/>
      <c r="CG42" s="106"/>
      <c r="CH42" s="106"/>
      <c r="CS42" s="5"/>
      <c r="CT42" s="5"/>
      <c r="CU42" s="5"/>
      <c r="CV42" s="5"/>
      <c r="CW42" s="5"/>
      <c r="CX42" s="5"/>
      <c r="CY42" s="5"/>
      <c r="CZ42" s="5"/>
      <c r="DA42" s="5"/>
    </row>
    <row r="43" spans="1:105" s="72" customFormat="1" ht="15.75" x14ac:dyDescent="0.25">
      <c r="A43" s="128"/>
      <c r="B43" s="109"/>
      <c r="C43" s="109"/>
      <c r="D43" s="129"/>
      <c r="E43" s="42"/>
      <c r="F43" s="42"/>
      <c r="G43" s="5"/>
      <c r="H43" s="5"/>
      <c r="I43" s="62"/>
      <c r="J43" s="65"/>
      <c r="K43" s="68"/>
      <c r="L43" s="71"/>
      <c r="M43" s="57"/>
      <c r="N43" s="57"/>
      <c r="O43" s="57"/>
      <c r="P43" s="119"/>
      <c r="Q43" s="119"/>
      <c r="R43" s="119"/>
      <c r="S43" s="119"/>
      <c r="T43" s="119"/>
      <c r="U43" s="119"/>
      <c r="V43" s="119"/>
      <c r="W43" s="119"/>
      <c r="X43" s="2"/>
      <c r="Y43" s="119"/>
      <c r="Z43" s="119"/>
      <c r="AA43" s="119"/>
      <c r="AB43" s="119"/>
      <c r="AC43" s="119"/>
      <c r="AD43" s="146"/>
      <c r="AE43" s="146"/>
      <c r="AF43" s="146"/>
      <c r="AG43" s="119"/>
      <c r="AH43" s="119"/>
      <c r="AI43" s="119"/>
      <c r="AJ43" s="119"/>
      <c r="AK43" s="32"/>
      <c r="AL43" s="32"/>
      <c r="AM43" s="5"/>
      <c r="AN43" s="32"/>
      <c r="AO43" s="5"/>
      <c r="AP43" s="5"/>
      <c r="AQ43" s="5"/>
      <c r="AR43" s="5"/>
      <c r="AS43" s="1"/>
      <c r="AT43" s="109"/>
      <c r="AU43" s="1"/>
      <c r="AV43" s="1"/>
      <c r="AW43" s="1"/>
      <c r="AX43" s="1"/>
      <c r="AY43" s="1"/>
      <c r="AZ43" s="1"/>
      <c r="BA43" s="1"/>
      <c r="BB43" s="4"/>
      <c r="BC43" s="4"/>
      <c r="BD43" s="102"/>
      <c r="BE43" s="42"/>
      <c r="BF43" s="42"/>
      <c r="BG43" s="53"/>
      <c r="BH43" s="3"/>
      <c r="BI43" s="3"/>
      <c r="BJ43" s="101"/>
      <c r="BK43" s="2"/>
      <c r="BL43" s="2"/>
      <c r="BM43" s="3"/>
      <c r="BN43" s="101"/>
      <c r="BO43" s="101"/>
      <c r="BP43" s="101"/>
      <c r="BQ43" s="101"/>
      <c r="BR43" s="101"/>
      <c r="BS43" s="101"/>
      <c r="BT43" s="101"/>
      <c r="BU43" s="101"/>
      <c r="BV43" s="3"/>
      <c r="BW43" s="101"/>
      <c r="BX43" s="101"/>
      <c r="BY43" s="101"/>
      <c r="BZ43" s="101"/>
      <c r="CA43" s="101"/>
      <c r="CB43" s="101"/>
      <c r="CC43" s="101"/>
      <c r="CD43" s="101"/>
      <c r="CE43" s="3"/>
      <c r="CF43" s="105"/>
      <c r="CG43" s="106"/>
      <c r="CH43" s="106"/>
      <c r="CS43" s="5"/>
      <c r="CT43" s="5"/>
      <c r="CU43" s="5"/>
      <c r="CV43" s="5"/>
      <c r="CW43" s="5"/>
      <c r="CX43" s="5"/>
      <c r="CY43" s="5"/>
      <c r="CZ43" s="5"/>
      <c r="DA43" s="5"/>
    </row>
    <row r="44" spans="1:105" ht="15.75" x14ac:dyDescent="0.25">
      <c r="A44" s="128"/>
      <c r="B44" s="109"/>
      <c r="C44" s="109"/>
      <c r="D44" s="129"/>
      <c r="E44" s="42"/>
      <c r="P44" s="119"/>
      <c r="S44" s="119"/>
      <c r="T44" s="119"/>
      <c r="U44" s="119"/>
      <c r="V44" s="119"/>
      <c r="W44" s="119"/>
      <c r="Y44" s="119"/>
      <c r="Z44" s="119"/>
      <c r="AA44" s="119"/>
      <c r="AB44" s="119"/>
      <c r="AC44" s="119"/>
      <c r="AD44" s="146"/>
      <c r="AE44" s="146"/>
      <c r="AF44" s="146"/>
      <c r="AG44" s="119"/>
      <c r="AH44" s="119"/>
      <c r="AI44" s="119"/>
      <c r="AK44" s="32"/>
      <c r="AM44" s="5"/>
      <c r="AO44" s="5"/>
      <c r="AP44" s="5"/>
      <c r="AQ44" s="5"/>
      <c r="AR44" s="5"/>
      <c r="CS44" s="5"/>
      <c r="CT44" s="5"/>
      <c r="CU44" s="5"/>
      <c r="CV44" s="5"/>
      <c r="CW44" s="5"/>
      <c r="CX44" s="5"/>
      <c r="CY44" s="5"/>
      <c r="CZ44" s="5"/>
      <c r="DA44" s="5"/>
    </row>
    <row r="45" spans="1:105" ht="15.75" x14ac:dyDescent="0.25">
      <c r="A45" s="128"/>
      <c r="B45" s="109"/>
      <c r="C45" s="109"/>
      <c r="D45" s="129"/>
      <c r="E45" s="42"/>
      <c r="P45" s="119"/>
      <c r="S45" s="119"/>
      <c r="T45" s="119"/>
      <c r="U45" s="119"/>
      <c r="V45" s="119"/>
      <c r="W45" s="119"/>
      <c r="Y45" s="119"/>
      <c r="Z45" s="119"/>
      <c r="AA45" s="119"/>
      <c r="AB45" s="119"/>
      <c r="AC45" s="119"/>
      <c r="AD45" s="146"/>
      <c r="AE45" s="146"/>
      <c r="AF45" s="146"/>
      <c r="AG45" s="119"/>
      <c r="AH45" s="119"/>
      <c r="AI45" s="119"/>
      <c r="AK45" s="32"/>
      <c r="AM45" s="5"/>
      <c r="AO45" s="5"/>
      <c r="AP45" s="5"/>
      <c r="AQ45" s="5"/>
      <c r="AR45" s="5"/>
      <c r="CS45" s="5"/>
      <c r="CT45" s="5"/>
      <c r="CU45" s="5"/>
      <c r="CV45" s="5"/>
      <c r="CW45" s="5"/>
      <c r="CX45" s="5"/>
      <c r="CY45" s="5"/>
      <c r="CZ45" s="5"/>
      <c r="DA45" s="5"/>
    </row>
    <row r="46" spans="1:105" ht="15.75" x14ac:dyDescent="0.25">
      <c r="A46" s="128"/>
      <c r="B46" s="109"/>
      <c r="C46" s="109"/>
      <c r="D46" s="129"/>
      <c r="E46" s="42"/>
      <c r="P46" s="119"/>
      <c r="S46" s="119"/>
      <c r="T46" s="119"/>
      <c r="U46" s="119"/>
      <c r="V46" s="119"/>
      <c r="W46" s="119"/>
      <c r="Y46" s="119"/>
      <c r="Z46" s="119"/>
      <c r="AA46" s="119"/>
      <c r="AB46" s="119"/>
      <c r="AC46" s="119"/>
      <c r="AD46" s="146"/>
      <c r="AE46" s="146"/>
      <c r="AF46" s="146"/>
      <c r="AG46" s="119"/>
      <c r="AH46" s="119"/>
      <c r="AI46" s="119"/>
      <c r="AK46" s="32"/>
      <c r="AM46" s="5"/>
      <c r="AO46" s="5"/>
      <c r="AP46" s="5"/>
      <c r="AQ46" s="5"/>
      <c r="AR46" s="5"/>
      <c r="CS46" s="5"/>
      <c r="CT46" s="5"/>
      <c r="CU46" s="5"/>
      <c r="CV46" s="5"/>
      <c r="CW46" s="5"/>
      <c r="CX46" s="5"/>
      <c r="CY46" s="5"/>
      <c r="CZ46" s="5"/>
      <c r="DA46" s="5"/>
    </row>
    <row r="47" spans="1:105" ht="15.75" x14ac:dyDescent="0.25">
      <c r="A47" s="128"/>
      <c r="B47" s="109"/>
      <c r="C47" s="109"/>
      <c r="D47" s="129"/>
      <c r="E47" s="42"/>
      <c r="P47" s="119"/>
      <c r="S47" s="119"/>
      <c r="T47" s="119"/>
      <c r="U47" s="119"/>
      <c r="V47" s="119"/>
      <c r="W47" s="119"/>
      <c r="Y47" s="119"/>
      <c r="Z47" s="119"/>
      <c r="AA47" s="119"/>
      <c r="AB47" s="119"/>
      <c r="AC47" s="119"/>
      <c r="AD47" s="146"/>
      <c r="AE47" s="146"/>
      <c r="AF47" s="146"/>
      <c r="AG47" s="119"/>
      <c r="AH47" s="119"/>
      <c r="AI47" s="119"/>
      <c r="AK47" s="32"/>
      <c r="AM47" s="5"/>
      <c r="AO47" s="5"/>
      <c r="AP47" s="5"/>
      <c r="AQ47" s="5"/>
      <c r="AR47" s="5"/>
      <c r="CS47" s="5"/>
      <c r="CT47" s="5"/>
      <c r="CU47" s="5"/>
      <c r="CV47" s="5"/>
      <c r="CW47" s="5"/>
      <c r="CX47" s="5"/>
      <c r="CY47" s="5"/>
      <c r="CZ47" s="5"/>
      <c r="DA47" s="5"/>
    </row>
    <row r="48" spans="1:105" ht="15.75" x14ac:dyDescent="0.25">
      <c r="A48" s="128"/>
      <c r="B48" s="109"/>
      <c r="C48" s="109"/>
      <c r="D48" s="129"/>
      <c r="E48" s="42"/>
      <c r="P48" s="119"/>
      <c r="S48" s="119"/>
      <c r="T48" s="119"/>
      <c r="U48" s="119"/>
      <c r="V48" s="119"/>
      <c r="W48" s="119"/>
      <c r="Y48" s="119"/>
      <c r="Z48" s="119"/>
      <c r="AA48" s="119"/>
      <c r="AB48" s="119"/>
      <c r="AC48" s="119"/>
      <c r="AD48" s="146"/>
      <c r="AE48" s="146"/>
      <c r="AF48" s="146"/>
      <c r="AG48" s="119"/>
      <c r="AH48" s="119"/>
      <c r="AI48" s="119"/>
      <c r="AK48" s="32"/>
      <c r="AM48" s="5"/>
      <c r="AO48" s="5"/>
      <c r="AP48" s="5"/>
      <c r="AQ48" s="5"/>
      <c r="AR48" s="5"/>
      <c r="CS48" s="5"/>
      <c r="CT48" s="5"/>
      <c r="CU48" s="5"/>
      <c r="CV48" s="5"/>
      <c r="CW48" s="5"/>
      <c r="CX48" s="5"/>
      <c r="CY48" s="5"/>
      <c r="CZ48" s="5"/>
      <c r="DA48" s="5"/>
    </row>
    <row r="49" spans="1:105" ht="15.75" x14ac:dyDescent="0.25">
      <c r="A49" s="128"/>
      <c r="B49" s="109"/>
      <c r="C49" s="109"/>
      <c r="D49" s="129"/>
      <c r="E49" s="42"/>
      <c r="P49" s="119"/>
      <c r="S49" s="119"/>
      <c r="T49" s="119"/>
      <c r="U49" s="119"/>
      <c r="V49" s="119"/>
      <c r="W49" s="119"/>
      <c r="Y49" s="119"/>
      <c r="Z49" s="119"/>
      <c r="AA49" s="119"/>
      <c r="AB49" s="119"/>
      <c r="AC49" s="119"/>
      <c r="AD49" s="146"/>
      <c r="AE49" s="146"/>
      <c r="AF49" s="146"/>
      <c r="AG49" s="119"/>
      <c r="AH49" s="119"/>
      <c r="AI49" s="119"/>
      <c r="AK49" s="32"/>
      <c r="AM49" s="5"/>
      <c r="AO49" s="5"/>
      <c r="AP49" s="5"/>
      <c r="AQ49" s="5"/>
      <c r="AR49" s="5"/>
      <c r="CS49" s="5"/>
      <c r="CT49" s="5"/>
      <c r="CU49" s="5"/>
      <c r="CV49" s="5"/>
      <c r="CW49" s="5"/>
      <c r="CX49" s="5"/>
      <c r="CY49" s="5"/>
      <c r="CZ49" s="5"/>
      <c r="DA49" s="5"/>
    </row>
    <row r="50" spans="1:105" ht="15.75" x14ac:dyDescent="0.25">
      <c r="A50" s="128"/>
      <c r="B50" s="109"/>
      <c r="C50" s="109"/>
      <c r="D50" s="129"/>
      <c r="E50" s="42"/>
      <c r="P50" s="119"/>
      <c r="S50" s="119"/>
      <c r="T50" s="119"/>
      <c r="U50" s="119"/>
      <c r="V50" s="119"/>
      <c r="W50" s="119"/>
      <c r="Y50" s="119"/>
      <c r="Z50" s="119"/>
      <c r="AA50" s="119"/>
      <c r="AB50" s="119"/>
      <c r="AC50" s="119"/>
      <c r="AD50" s="146"/>
      <c r="AE50" s="146"/>
      <c r="AF50" s="146"/>
      <c r="AG50" s="119"/>
      <c r="AH50" s="119"/>
      <c r="AI50" s="119"/>
      <c r="AK50" s="32"/>
      <c r="AM50" s="5"/>
      <c r="AO50" s="5"/>
      <c r="AP50" s="5"/>
      <c r="AQ50" s="5"/>
      <c r="AR50" s="5"/>
      <c r="CS50" s="5"/>
      <c r="CT50" s="5"/>
      <c r="CU50" s="5"/>
      <c r="CV50" s="5"/>
      <c r="CW50" s="5"/>
      <c r="CX50" s="5"/>
      <c r="CY50" s="5"/>
      <c r="CZ50" s="5"/>
      <c r="DA50" s="5"/>
    </row>
    <row r="51" spans="1:105" ht="15.75" x14ac:dyDescent="0.25">
      <c r="A51" s="128"/>
      <c r="B51" s="109"/>
      <c r="C51" s="109"/>
      <c r="D51" s="129"/>
      <c r="E51" s="42"/>
      <c r="P51" s="119"/>
      <c r="S51" s="119"/>
      <c r="T51" s="119"/>
      <c r="U51" s="119"/>
      <c r="V51" s="119"/>
      <c r="W51" s="119"/>
      <c r="Y51" s="119"/>
      <c r="Z51" s="119"/>
      <c r="AA51" s="119"/>
      <c r="AB51" s="119"/>
      <c r="AC51" s="119"/>
      <c r="AD51" s="146"/>
      <c r="AE51" s="146"/>
      <c r="AF51" s="146"/>
      <c r="AG51" s="119"/>
      <c r="AH51" s="119"/>
      <c r="AI51" s="119"/>
      <c r="AK51" s="32"/>
      <c r="AM51" s="5"/>
      <c r="AO51" s="5"/>
      <c r="AP51" s="5"/>
      <c r="AQ51" s="5"/>
      <c r="AR51" s="5"/>
      <c r="CS51" s="5"/>
      <c r="CT51" s="5"/>
      <c r="CU51" s="5"/>
      <c r="CV51" s="5"/>
      <c r="CW51" s="5"/>
      <c r="CX51" s="5"/>
      <c r="CY51" s="5"/>
      <c r="CZ51" s="5"/>
      <c r="DA51" s="5"/>
    </row>
    <row r="52" spans="1:105" ht="15.75" x14ac:dyDescent="0.25">
      <c r="A52" s="128"/>
      <c r="B52" s="109"/>
      <c r="C52" s="109"/>
      <c r="D52" s="129"/>
      <c r="E52" s="42"/>
      <c r="P52" s="119"/>
      <c r="S52" s="119"/>
      <c r="T52" s="119"/>
      <c r="U52" s="119"/>
      <c r="V52" s="119"/>
      <c r="W52" s="119"/>
      <c r="Y52" s="119"/>
      <c r="Z52" s="119"/>
      <c r="AA52" s="119"/>
      <c r="AB52" s="119"/>
      <c r="AC52" s="119"/>
      <c r="AD52" s="146"/>
      <c r="AE52" s="146"/>
      <c r="AF52" s="146"/>
      <c r="AG52" s="119"/>
      <c r="AH52" s="119"/>
      <c r="AI52" s="119"/>
      <c r="AK52" s="32"/>
      <c r="AM52" s="5"/>
      <c r="AO52" s="5"/>
      <c r="AP52" s="5"/>
      <c r="AQ52" s="5"/>
      <c r="AR52" s="5"/>
      <c r="CS52" s="5"/>
      <c r="CT52" s="5"/>
      <c r="CU52" s="5"/>
      <c r="CV52" s="5"/>
      <c r="CW52" s="5"/>
      <c r="CX52" s="5"/>
      <c r="CY52" s="5"/>
      <c r="CZ52" s="5"/>
      <c r="DA52" s="5"/>
    </row>
    <row r="53" spans="1:105" ht="15.75" x14ac:dyDescent="0.25">
      <c r="A53" s="128"/>
      <c r="B53" s="109"/>
      <c r="C53" s="109"/>
      <c r="D53" s="129"/>
      <c r="E53" s="42"/>
      <c r="P53" s="119"/>
      <c r="S53" s="119"/>
      <c r="T53" s="119"/>
      <c r="U53" s="119"/>
      <c r="V53" s="119"/>
      <c r="W53" s="119"/>
      <c r="Y53" s="119"/>
      <c r="Z53" s="119"/>
      <c r="AA53" s="119"/>
      <c r="AB53" s="119"/>
      <c r="AC53" s="119"/>
      <c r="AD53" s="146"/>
      <c r="AE53" s="146"/>
      <c r="AF53" s="146"/>
      <c r="AG53" s="119"/>
      <c r="AH53" s="119"/>
      <c r="AI53" s="119"/>
      <c r="AK53" s="32"/>
      <c r="AM53" s="5"/>
      <c r="AO53" s="5"/>
      <c r="AP53" s="5"/>
      <c r="AQ53" s="5"/>
      <c r="AR53" s="5"/>
      <c r="CS53" s="5"/>
      <c r="CT53" s="5"/>
      <c r="CU53" s="5"/>
      <c r="CV53" s="5"/>
      <c r="CW53" s="5"/>
      <c r="CX53" s="5"/>
      <c r="CY53" s="5"/>
      <c r="CZ53" s="5"/>
      <c r="DA53" s="5"/>
    </row>
    <row r="54" spans="1:105" x14ac:dyDescent="0.25">
      <c r="A54" s="128"/>
      <c r="B54" s="109"/>
      <c r="C54" s="109"/>
      <c r="D54" s="129"/>
      <c r="E54" s="42"/>
      <c r="P54" s="119"/>
      <c r="S54" s="119"/>
      <c r="T54" s="119"/>
      <c r="U54" s="119"/>
      <c r="V54" s="119"/>
      <c r="W54" s="119"/>
      <c r="Y54" s="119"/>
      <c r="Z54" s="119"/>
      <c r="AA54" s="119"/>
      <c r="AB54" s="119"/>
      <c r="AC54" s="119"/>
      <c r="AD54" s="136"/>
      <c r="AE54" s="136"/>
      <c r="AF54" s="257"/>
      <c r="AG54" s="119"/>
      <c r="AH54" s="119"/>
      <c r="AI54" s="119"/>
      <c r="AK54" s="32"/>
      <c r="AM54" s="5"/>
      <c r="AO54" s="5"/>
      <c r="AP54" s="5"/>
      <c r="AQ54" s="5"/>
      <c r="AR54" s="5"/>
      <c r="BD54" s="102"/>
      <c r="CS54" s="5"/>
      <c r="CT54" s="5"/>
      <c r="CU54" s="5"/>
      <c r="CV54" s="5"/>
      <c r="CW54" s="5"/>
      <c r="CX54" s="5"/>
      <c r="CY54" s="5"/>
      <c r="CZ54" s="5"/>
      <c r="DA54" s="5"/>
    </row>
    <row r="55" spans="1:105" x14ac:dyDescent="0.25">
      <c r="A55" s="128"/>
      <c r="B55" s="109"/>
      <c r="C55" s="109"/>
      <c r="D55" s="129"/>
      <c r="E55" s="42"/>
      <c r="P55" s="119"/>
      <c r="S55" s="119"/>
      <c r="T55" s="119"/>
      <c r="U55" s="119"/>
      <c r="V55" s="119"/>
      <c r="W55" s="119"/>
      <c r="Y55" s="119"/>
      <c r="Z55" s="119"/>
      <c r="AA55" s="119"/>
      <c r="AB55" s="119"/>
      <c r="AC55" s="119"/>
      <c r="AD55" s="136"/>
      <c r="AE55" s="136"/>
      <c r="AF55" s="257"/>
      <c r="AG55" s="119"/>
      <c r="AH55" s="119"/>
      <c r="AI55" s="119"/>
      <c r="AK55" s="32"/>
      <c r="AM55" s="5"/>
      <c r="AO55" s="5"/>
      <c r="AP55" s="5"/>
      <c r="AQ55" s="5"/>
      <c r="AR55" s="5"/>
      <c r="BD55" s="102"/>
      <c r="CS55" s="5"/>
      <c r="CT55" s="5"/>
      <c r="CU55" s="5"/>
      <c r="CV55" s="5"/>
      <c r="CW55" s="5"/>
      <c r="CX55" s="5"/>
      <c r="CY55" s="5"/>
      <c r="CZ55" s="5"/>
      <c r="DA55" s="5"/>
    </row>
    <row r="56" spans="1:105" x14ac:dyDescent="0.25">
      <c r="A56" s="128"/>
      <c r="B56" s="109"/>
      <c r="C56" s="109"/>
      <c r="D56" s="129"/>
      <c r="E56" s="42"/>
      <c r="P56" s="119"/>
      <c r="S56" s="119"/>
      <c r="T56" s="119"/>
      <c r="U56" s="119"/>
      <c r="V56" s="119"/>
      <c r="W56" s="119"/>
      <c r="Y56" s="119"/>
      <c r="Z56" s="119"/>
      <c r="AA56" s="119"/>
      <c r="AB56" s="119"/>
      <c r="AC56" s="119"/>
      <c r="AD56" s="136"/>
      <c r="AE56" s="136"/>
      <c r="AF56" s="257"/>
      <c r="AG56" s="119"/>
      <c r="AH56" s="119"/>
      <c r="AI56" s="119"/>
      <c r="AK56" s="32"/>
      <c r="AM56" s="5"/>
      <c r="AO56" s="5"/>
      <c r="AP56" s="5"/>
      <c r="AQ56" s="5"/>
      <c r="AR56" s="5"/>
      <c r="BD56" s="102"/>
      <c r="CS56" s="5"/>
      <c r="CT56" s="5"/>
      <c r="CU56" s="5"/>
      <c r="CV56" s="5"/>
      <c r="CW56" s="5"/>
      <c r="CX56" s="5"/>
      <c r="CY56" s="5"/>
      <c r="CZ56" s="5"/>
      <c r="DA56" s="5"/>
    </row>
    <row r="57" spans="1:105" x14ac:dyDescent="0.25">
      <c r="A57" s="128"/>
      <c r="B57" s="109"/>
      <c r="C57" s="109"/>
      <c r="D57" s="129"/>
      <c r="E57" s="42"/>
      <c r="P57" s="119"/>
      <c r="S57" s="119"/>
      <c r="T57" s="119"/>
      <c r="U57" s="119"/>
      <c r="V57" s="119"/>
      <c r="W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K57" s="32"/>
      <c r="AM57" s="5"/>
      <c r="AO57" s="5"/>
      <c r="AP57" s="5"/>
      <c r="AQ57" s="5"/>
      <c r="AR57" s="5"/>
      <c r="CS57" s="5"/>
      <c r="CT57" s="5"/>
      <c r="CU57" s="5"/>
      <c r="CV57" s="5"/>
      <c r="CW57" s="5"/>
      <c r="CX57" s="5"/>
      <c r="CY57" s="5"/>
      <c r="CZ57" s="5"/>
      <c r="DA57" s="5"/>
    </row>
    <row r="58" spans="1:105" x14ac:dyDescent="0.25">
      <c r="A58" s="128"/>
      <c r="B58" s="109"/>
      <c r="C58" s="109"/>
      <c r="D58" s="129"/>
      <c r="E58" s="42"/>
      <c r="P58" s="119"/>
      <c r="S58" s="119"/>
      <c r="T58" s="119"/>
      <c r="U58" s="119"/>
      <c r="V58" s="119"/>
      <c r="W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K58" s="32"/>
      <c r="AM58" s="5"/>
      <c r="AO58" s="5"/>
      <c r="AP58" s="5"/>
      <c r="AQ58" s="5"/>
      <c r="AR58" s="5"/>
      <c r="CS58" s="5"/>
      <c r="CT58" s="5"/>
      <c r="CU58" s="5"/>
      <c r="CV58" s="5"/>
      <c r="CW58" s="5"/>
      <c r="CX58" s="5"/>
      <c r="CY58" s="5"/>
      <c r="CZ58" s="5"/>
      <c r="DA58" s="5"/>
    </row>
    <row r="59" spans="1:105" x14ac:dyDescent="0.25">
      <c r="A59" s="128"/>
      <c r="B59" s="109"/>
      <c r="C59" s="109"/>
      <c r="D59" s="129"/>
      <c r="E59" s="42"/>
      <c r="P59" s="119"/>
      <c r="S59" s="119"/>
      <c r="T59" s="119"/>
      <c r="U59" s="119"/>
      <c r="V59" s="119"/>
      <c r="W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K59" s="32"/>
      <c r="AM59" s="5"/>
      <c r="AO59" s="5"/>
      <c r="AP59" s="5"/>
      <c r="AQ59" s="5"/>
      <c r="A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x14ac:dyDescent="0.25">
      <c r="A60" s="128"/>
      <c r="B60" s="109"/>
      <c r="C60" s="109"/>
      <c r="D60" s="129"/>
      <c r="E60" s="42"/>
      <c r="P60" s="119"/>
      <c r="S60" s="119"/>
      <c r="T60" s="119"/>
      <c r="U60" s="119"/>
      <c r="V60" s="119"/>
      <c r="W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K60" s="32"/>
      <c r="AM60" s="5"/>
      <c r="AO60" s="5"/>
      <c r="AP60" s="5"/>
      <c r="AQ60" s="5"/>
      <c r="AR60" s="5"/>
      <c r="CS60" s="5"/>
      <c r="CT60" s="5"/>
      <c r="CU60" s="5"/>
      <c r="CV60" s="5"/>
      <c r="CW60" s="5"/>
      <c r="CX60" s="5"/>
      <c r="CY60" s="5"/>
      <c r="CZ60" s="5"/>
      <c r="DA60" s="5"/>
    </row>
    <row r="61" spans="1:105" x14ac:dyDescent="0.25">
      <c r="A61" s="128"/>
      <c r="B61" s="109"/>
      <c r="C61" s="109"/>
      <c r="D61" s="129"/>
      <c r="E61" s="42"/>
      <c r="P61" s="119"/>
      <c r="S61" s="119"/>
      <c r="T61" s="119"/>
      <c r="U61" s="119"/>
      <c r="V61" s="119"/>
      <c r="W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K61" s="32"/>
      <c r="AM61" s="5"/>
      <c r="AO61" s="5"/>
      <c r="AP61" s="5"/>
      <c r="AQ61" s="5"/>
      <c r="AR61" s="5"/>
      <c r="CS61" s="5"/>
      <c r="CT61" s="5"/>
      <c r="CU61" s="5"/>
      <c r="CV61" s="5"/>
      <c r="CW61" s="5"/>
      <c r="CX61" s="5"/>
      <c r="CY61" s="5"/>
      <c r="CZ61" s="5"/>
      <c r="DA61" s="5"/>
    </row>
    <row r="62" spans="1:105" x14ac:dyDescent="0.25">
      <c r="A62" s="128"/>
      <c r="B62" s="109"/>
      <c r="C62" s="109"/>
      <c r="D62" s="129"/>
      <c r="E62" s="42"/>
      <c r="P62" s="119"/>
      <c r="S62" s="119"/>
      <c r="T62" s="119"/>
      <c r="U62" s="119"/>
      <c r="V62" s="119"/>
      <c r="W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K62" s="32"/>
      <c r="AM62" s="5"/>
      <c r="AO62" s="5"/>
      <c r="AP62" s="5"/>
      <c r="AQ62" s="5"/>
      <c r="AR62" s="5"/>
      <c r="CS62" s="5"/>
      <c r="CT62" s="5"/>
      <c r="CU62" s="5"/>
      <c r="CV62" s="5"/>
      <c r="CW62" s="5"/>
      <c r="CX62" s="5"/>
      <c r="CY62" s="5"/>
      <c r="CZ62" s="5"/>
      <c r="DA62" s="5"/>
    </row>
    <row r="63" spans="1:105" x14ac:dyDescent="0.25">
      <c r="A63" s="128"/>
      <c r="B63" s="109"/>
      <c r="C63" s="109"/>
      <c r="D63" s="129"/>
      <c r="E63" s="42"/>
      <c r="P63" s="119"/>
      <c r="S63" s="119"/>
      <c r="T63" s="119"/>
      <c r="U63" s="119"/>
      <c r="V63" s="119"/>
      <c r="W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K63" s="32"/>
      <c r="AM63" s="5"/>
      <c r="AO63" s="5"/>
      <c r="AP63" s="5"/>
      <c r="AQ63" s="5"/>
      <c r="AR63" s="5"/>
      <c r="CS63" s="5"/>
      <c r="CT63" s="5"/>
      <c r="CU63" s="5"/>
      <c r="CV63" s="5"/>
      <c r="CW63" s="5"/>
      <c r="CX63" s="5"/>
      <c r="CY63" s="5"/>
      <c r="CZ63" s="5"/>
      <c r="DA63" s="5"/>
    </row>
    <row r="64" spans="1:105" x14ac:dyDescent="0.25">
      <c r="A64" s="128"/>
      <c r="B64" s="109"/>
      <c r="C64" s="109"/>
      <c r="D64" s="129"/>
      <c r="E64" s="42"/>
      <c r="P64" s="119"/>
      <c r="S64" s="119"/>
      <c r="T64" s="119"/>
      <c r="U64" s="119"/>
      <c r="V64" s="119"/>
      <c r="W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K64" s="32"/>
      <c r="AM64" s="5"/>
      <c r="AO64" s="5"/>
      <c r="AP64" s="5"/>
      <c r="AQ64" s="5"/>
      <c r="AR64" s="5"/>
      <c r="CS64" s="5"/>
      <c r="CT64" s="5"/>
      <c r="CU64" s="5"/>
      <c r="CV64" s="5"/>
      <c r="CW64" s="5"/>
      <c r="CX64" s="5"/>
      <c r="CY64" s="5"/>
      <c r="CZ64" s="5"/>
      <c r="DA64" s="5"/>
    </row>
    <row r="65" spans="1:105" x14ac:dyDescent="0.25">
      <c r="A65" s="128"/>
      <c r="B65" s="109"/>
      <c r="C65" s="109"/>
      <c r="D65" s="129"/>
      <c r="E65" s="42"/>
      <c r="P65" s="119"/>
      <c r="S65" s="119"/>
      <c r="T65" s="119"/>
      <c r="U65" s="119"/>
      <c r="V65" s="119"/>
      <c r="W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K65" s="32"/>
      <c r="AM65" s="5"/>
      <c r="AO65" s="5"/>
      <c r="AP65" s="5"/>
      <c r="AQ65" s="5"/>
      <c r="AR65" s="5"/>
      <c r="CS65" s="5"/>
      <c r="CT65" s="5"/>
      <c r="CU65" s="5"/>
      <c r="CV65" s="5"/>
      <c r="CW65" s="5"/>
      <c r="CX65" s="5"/>
      <c r="CY65" s="5"/>
      <c r="CZ65" s="5"/>
      <c r="DA65" s="5"/>
    </row>
    <row r="66" spans="1:105" x14ac:dyDescent="0.25">
      <c r="A66" s="128"/>
      <c r="B66" s="109"/>
      <c r="C66" s="109"/>
      <c r="D66" s="129"/>
      <c r="E66" s="42"/>
      <c r="P66" s="119"/>
      <c r="S66" s="119"/>
      <c r="T66" s="119"/>
      <c r="U66" s="119"/>
      <c r="V66" s="119"/>
      <c r="W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K66" s="32"/>
      <c r="AM66" s="5"/>
      <c r="AO66" s="5"/>
      <c r="AP66" s="5"/>
      <c r="AQ66" s="5"/>
      <c r="AR66" s="5"/>
      <c r="CS66" s="5"/>
      <c r="CT66" s="5"/>
      <c r="CU66" s="5"/>
      <c r="CV66" s="5"/>
      <c r="CW66" s="5"/>
      <c r="CX66" s="5"/>
      <c r="CY66" s="5"/>
      <c r="CZ66" s="5"/>
      <c r="DA66" s="5"/>
    </row>
    <row r="67" spans="1:105" x14ac:dyDescent="0.25">
      <c r="A67" s="128"/>
      <c r="B67" s="109"/>
      <c r="C67" s="109"/>
      <c r="D67" s="129"/>
      <c r="E67" s="42"/>
      <c r="P67" s="119"/>
      <c r="S67" s="119"/>
      <c r="T67" s="119"/>
      <c r="U67" s="119"/>
      <c r="V67" s="119"/>
      <c r="W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K67" s="32"/>
      <c r="AM67" s="5"/>
      <c r="AO67" s="5"/>
      <c r="AP67" s="5"/>
      <c r="AQ67" s="5"/>
      <c r="AR67" s="5"/>
      <c r="CS67" s="5"/>
      <c r="CT67" s="5"/>
      <c r="CU67" s="5"/>
      <c r="CV67" s="5"/>
      <c r="CW67" s="5"/>
      <c r="CX67" s="5"/>
      <c r="CY67" s="5"/>
      <c r="CZ67" s="5"/>
      <c r="DA67" s="5"/>
    </row>
    <row r="68" spans="1:105" x14ac:dyDescent="0.25">
      <c r="A68" s="128"/>
      <c r="B68" s="109"/>
      <c r="C68" s="109"/>
      <c r="D68" s="129"/>
      <c r="E68" s="42"/>
      <c r="P68" s="119"/>
      <c r="S68" s="119"/>
      <c r="T68" s="119"/>
      <c r="U68" s="119"/>
      <c r="V68" s="119"/>
      <c r="W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K68" s="32"/>
      <c r="AM68" s="5"/>
      <c r="AO68" s="5"/>
      <c r="AP68" s="5"/>
      <c r="AQ68" s="5"/>
      <c r="AR68" s="5"/>
      <c r="CS68" s="5"/>
      <c r="CT68" s="5"/>
      <c r="CU68" s="5"/>
      <c r="CV68" s="5"/>
      <c r="CW68" s="5"/>
      <c r="CX68" s="5"/>
      <c r="CY68" s="5"/>
      <c r="CZ68" s="5"/>
      <c r="DA68" s="5"/>
    </row>
    <row r="69" spans="1:105" x14ac:dyDescent="0.25">
      <c r="A69" s="128"/>
      <c r="B69" s="109"/>
      <c r="C69" s="109"/>
      <c r="D69" s="129"/>
      <c r="E69" s="42"/>
      <c r="P69" s="119"/>
      <c r="S69" s="119"/>
      <c r="T69" s="119"/>
      <c r="U69" s="119"/>
      <c r="V69" s="119"/>
      <c r="W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K69" s="32"/>
      <c r="AM69" s="5"/>
      <c r="AO69" s="5"/>
      <c r="AP69" s="5"/>
      <c r="AQ69" s="5"/>
      <c r="AR69" s="5"/>
      <c r="CS69" s="5"/>
      <c r="CT69" s="5"/>
      <c r="CU69" s="5"/>
      <c r="CV69" s="5"/>
      <c r="CW69" s="5"/>
      <c r="CX69" s="5"/>
      <c r="CY69" s="5"/>
      <c r="CZ69" s="5"/>
      <c r="DA69" s="5"/>
    </row>
    <row r="70" spans="1:105" x14ac:dyDescent="0.25">
      <c r="A70" s="128"/>
      <c r="B70" s="109"/>
      <c r="C70" s="109"/>
      <c r="D70" s="129"/>
      <c r="E70" s="42"/>
      <c r="P70" s="119"/>
      <c r="S70" s="119"/>
      <c r="T70" s="119"/>
      <c r="U70" s="119"/>
      <c r="V70" s="119"/>
      <c r="W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K70" s="32"/>
      <c r="AM70" s="5"/>
      <c r="AO70" s="5"/>
      <c r="AP70" s="5"/>
      <c r="AQ70" s="5"/>
      <c r="AR70" s="5"/>
      <c r="CS70" s="5"/>
      <c r="CT70" s="5"/>
      <c r="CU70" s="5"/>
      <c r="CV70" s="5"/>
      <c r="CW70" s="5"/>
      <c r="CX70" s="5"/>
      <c r="CY70" s="5"/>
      <c r="CZ70" s="5"/>
      <c r="DA70" s="5"/>
    </row>
    <row r="71" spans="1:105" x14ac:dyDescent="0.25">
      <c r="A71" s="128"/>
      <c r="B71" s="109"/>
      <c r="C71" s="109"/>
      <c r="D71" s="129"/>
      <c r="E71" s="42"/>
      <c r="P71" s="119"/>
      <c r="S71" s="119"/>
      <c r="T71" s="119"/>
      <c r="U71" s="119"/>
      <c r="V71" s="119"/>
      <c r="W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K71" s="32"/>
      <c r="AM71" s="5"/>
      <c r="AO71" s="5"/>
      <c r="AP71" s="5"/>
      <c r="AQ71" s="5"/>
      <c r="AR71" s="5"/>
      <c r="CS71" s="5"/>
      <c r="CT71" s="5"/>
      <c r="CU71" s="5"/>
      <c r="CV71" s="5"/>
      <c r="CW71" s="5"/>
      <c r="CX71" s="5"/>
      <c r="CY71" s="5"/>
      <c r="CZ71" s="5"/>
      <c r="DA71" s="5"/>
    </row>
    <row r="72" spans="1:105" x14ac:dyDescent="0.25">
      <c r="A72" s="128"/>
      <c r="B72" s="109"/>
      <c r="C72" s="109"/>
      <c r="D72" s="129"/>
      <c r="E72" s="42"/>
      <c r="P72" s="119"/>
      <c r="S72" s="119"/>
      <c r="T72" s="119"/>
      <c r="U72" s="119"/>
      <c r="V72" s="119"/>
      <c r="W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K72" s="32"/>
      <c r="AM72" s="5"/>
      <c r="AO72" s="5"/>
      <c r="AP72" s="5"/>
      <c r="AQ72" s="5"/>
      <c r="AR72" s="5"/>
      <c r="CS72" s="5"/>
      <c r="CT72" s="5"/>
      <c r="CU72" s="5"/>
      <c r="CV72" s="5"/>
      <c r="CW72" s="5"/>
      <c r="CX72" s="5"/>
      <c r="CY72" s="5"/>
      <c r="CZ72" s="5"/>
      <c r="DA72" s="5"/>
    </row>
    <row r="73" spans="1:105" x14ac:dyDescent="0.25">
      <c r="A73" s="128"/>
      <c r="B73" s="109"/>
      <c r="C73" s="109"/>
      <c r="D73" s="129"/>
      <c r="E73" s="42"/>
      <c r="P73" s="119"/>
      <c r="S73" s="119"/>
      <c r="T73" s="119"/>
      <c r="U73" s="119"/>
      <c r="V73" s="119"/>
      <c r="W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K73" s="32"/>
      <c r="AM73" s="5"/>
      <c r="AO73" s="5"/>
      <c r="AP73" s="5"/>
      <c r="AQ73" s="5"/>
      <c r="AR73" s="5"/>
      <c r="CS73" s="5"/>
      <c r="CT73" s="5"/>
      <c r="CU73" s="5"/>
      <c r="CV73" s="5"/>
      <c r="CW73" s="5"/>
      <c r="CX73" s="5"/>
      <c r="CY73" s="5"/>
      <c r="CZ73" s="5"/>
      <c r="DA73" s="5"/>
    </row>
    <row r="74" spans="1:105" x14ac:dyDescent="0.25">
      <c r="A74" s="128"/>
      <c r="B74" s="109"/>
      <c r="C74" s="109"/>
      <c r="D74" s="129"/>
      <c r="E74" s="42"/>
      <c r="P74" s="119"/>
      <c r="S74" s="119"/>
      <c r="T74" s="119"/>
      <c r="U74" s="119"/>
      <c r="V74" s="119"/>
      <c r="W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K74" s="32"/>
      <c r="AM74" s="5"/>
      <c r="AO74" s="5"/>
      <c r="AP74" s="5"/>
      <c r="AQ74" s="5"/>
      <c r="AR74" s="5"/>
      <c r="CS74" s="5"/>
      <c r="CT74" s="5"/>
      <c r="CU74" s="5"/>
      <c r="CV74" s="5"/>
      <c r="CW74" s="5"/>
      <c r="CX74" s="5"/>
      <c r="CY74" s="5"/>
      <c r="CZ74" s="5"/>
      <c r="DA74" s="5"/>
    </row>
    <row r="75" spans="1:105" x14ac:dyDescent="0.25">
      <c r="A75" s="128"/>
      <c r="B75" s="109"/>
      <c r="C75" s="109"/>
      <c r="D75" s="129"/>
      <c r="E75" s="42"/>
      <c r="P75" s="119"/>
      <c r="S75" s="119"/>
      <c r="T75" s="119"/>
      <c r="U75" s="119"/>
      <c r="V75" s="119"/>
      <c r="W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K75" s="32"/>
      <c r="AM75" s="5"/>
      <c r="AO75" s="5"/>
      <c r="AP75" s="5"/>
      <c r="AQ75" s="5"/>
      <c r="AR75" s="5"/>
      <c r="CS75" s="5"/>
      <c r="CT75" s="5"/>
      <c r="CU75" s="5"/>
      <c r="CV75" s="5"/>
      <c r="CW75" s="5"/>
      <c r="CX75" s="5"/>
      <c r="CY75" s="5"/>
      <c r="CZ75" s="5"/>
      <c r="DA75" s="5"/>
    </row>
    <row r="76" spans="1:105" x14ac:dyDescent="0.25">
      <c r="A76" s="128"/>
      <c r="B76" s="109"/>
      <c r="C76" s="109"/>
      <c r="D76" s="129"/>
      <c r="E76" s="42"/>
      <c r="P76" s="119"/>
      <c r="S76" s="119"/>
      <c r="T76" s="119"/>
      <c r="U76" s="119"/>
      <c r="V76" s="119"/>
      <c r="W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K76" s="32"/>
      <c r="AM76" s="5"/>
      <c r="AO76" s="5"/>
      <c r="AP76" s="5"/>
      <c r="AQ76" s="5"/>
      <c r="AR76" s="5"/>
      <c r="CS76" s="5"/>
      <c r="CT76" s="5"/>
      <c r="CU76" s="5"/>
      <c r="CV76" s="5"/>
      <c r="CW76" s="5"/>
      <c r="CX76" s="5"/>
      <c r="CY76" s="5"/>
      <c r="CZ76" s="5"/>
      <c r="DA76" s="5"/>
    </row>
    <row r="77" spans="1:105" x14ac:dyDescent="0.25">
      <c r="A77" s="128"/>
      <c r="B77" s="109"/>
      <c r="C77" s="109"/>
      <c r="D77" s="129"/>
      <c r="E77" s="42"/>
      <c r="P77" s="119"/>
      <c r="S77" s="119"/>
      <c r="T77" s="119"/>
      <c r="U77" s="119"/>
      <c r="V77" s="119"/>
      <c r="W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K77" s="32"/>
      <c r="AM77" s="5"/>
      <c r="AO77" s="5"/>
      <c r="AP77" s="5"/>
      <c r="AQ77" s="5"/>
      <c r="AR77" s="5"/>
      <c r="CS77" s="5"/>
      <c r="CT77" s="5"/>
      <c r="CU77" s="5"/>
      <c r="CV77" s="5"/>
      <c r="CW77" s="5"/>
      <c r="CX77" s="5"/>
      <c r="CY77" s="5"/>
      <c r="CZ77" s="5"/>
      <c r="DA77" s="5"/>
    </row>
    <row r="78" spans="1:105" x14ac:dyDescent="0.25">
      <c r="A78" s="128"/>
      <c r="B78" s="109"/>
      <c r="C78" s="109"/>
      <c r="D78" s="129"/>
      <c r="E78" s="42"/>
      <c r="P78" s="119"/>
      <c r="S78" s="119"/>
      <c r="T78" s="119"/>
      <c r="U78" s="119"/>
      <c r="V78" s="119"/>
      <c r="W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K78" s="32"/>
      <c r="AM78" s="5"/>
      <c r="AO78" s="5"/>
      <c r="AP78" s="5"/>
      <c r="AQ78" s="5"/>
      <c r="AR78" s="5"/>
      <c r="CS78" s="5"/>
      <c r="CT78" s="5"/>
      <c r="CU78" s="5"/>
      <c r="CV78" s="5"/>
      <c r="CW78" s="5"/>
      <c r="CX78" s="5"/>
      <c r="CY78" s="5"/>
      <c r="CZ78" s="5"/>
      <c r="DA78" s="5"/>
    </row>
    <row r="79" spans="1:105" x14ac:dyDescent="0.25">
      <c r="A79" s="128"/>
      <c r="B79" s="109"/>
      <c r="C79" s="109"/>
      <c r="D79" s="129"/>
      <c r="E79" s="42"/>
      <c r="P79" s="119"/>
      <c r="S79" s="119"/>
      <c r="T79" s="119"/>
      <c r="U79" s="119"/>
      <c r="V79" s="119"/>
      <c r="W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K79" s="32"/>
      <c r="AM79" s="5"/>
      <c r="AO79" s="5"/>
      <c r="AP79" s="5"/>
      <c r="AQ79" s="5"/>
      <c r="AR79" s="5"/>
      <c r="CS79" s="5"/>
      <c r="CT79" s="5"/>
      <c r="CU79" s="5"/>
      <c r="CV79" s="5"/>
      <c r="CW79" s="5"/>
      <c r="CX79" s="5"/>
      <c r="CY79" s="5"/>
      <c r="CZ79" s="5"/>
      <c r="DA79" s="5"/>
    </row>
    <row r="80" spans="1:105" x14ac:dyDescent="0.25">
      <c r="A80" s="128"/>
      <c r="B80" s="109"/>
      <c r="C80" s="109"/>
      <c r="D80" s="129"/>
      <c r="E80" s="42"/>
      <c r="P80" s="119"/>
      <c r="S80" s="119"/>
      <c r="T80" s="119"/>
      <c r="U80" s="119"/>
      <c r="V80" s="119"/>
      <c r="W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K80" s="32"/>
      <c r="AM80" s="5"/>
      <c r="AO80" s="5"/>
      <c r="AP80" s="5"/>
      <c r="AQ80" s="5"/>
      <c r="AR80" s="5"/>
      <c r="CS80" s="5"/>
      <c r="CT80" s="5"/>
      <c r="CU80" s="5"/>
      <c r="CV80" s="5"/>
      <c r="CW80" s="5"/>
      <c r="CX80" s="5"/>
      <c r="CY80" s="5"/>
      <c r="CZ80" s="5"/>
      <c r="DA80" s="5"/>
    </row>
    <row r="81" spans="1:105" x14ac:dyDescent="0.25">
      <c r="A81" s="128"/>
      <c r="B81" s="109"/>
      <c r="C81" s="109"/>
      <c r="D81" s="129"/>
      <c r="E81" s="42"/>
      <c r="P81" s="119"/>
      <c r="S81" s="119"/>
      <c r="T81" s="119"/>
      <c r="U81" s="119"/>
      <c r="V81" s="119"/>
      <c r="W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K81" s="32"/>
      <c r="AM81" s="5"/>
      <c r="AO81" s="5"/>
      <c r="AP81" s="5"/>
      <c r="AQ81" s="5"/>
      <c r="AR81" s="5"/>
      <c r="CS81" s="5"/>
      <c r="CT81" s="5"/>
      <c r="CU81" s="5"/>
      <c r="CV81" s="5"/>
      <c r="CW81" s="5"/>
      <c r="CX81" s="5"/>
      <c r="CY81" s="5"/>
      <c r="CZ81" s="5"/>
      <c r="DA81" s="5"/>
    </row>
    <row r="82" spans="1:105" x14ac:dyDescent="0.25">
      <c r="A82" s="128"/>
      <c r="B82" s="109"/>
      <c r="C82" s="109"/>
      <c r="D82" s="129"/>
      <c r="E82" s="42"/>
      <c r="P82" s="119"/>
      <c r="S82" s="119"/>
      <c r="T82" s="119"/>
      <c r="U82" s="119"/>
      <c r="V82" s="119"/>
      <c r="W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K82" s="32"/>
      <c r="AM82" s="5"/>
      <c r="AO82" s="5"/>
      <c r="AP82" s="5"/>
      <c r="AQ82" s="5"/>
      <c r="AR82" s="5"/>
      <c r="CS82" s="5"/>
      <c r="CT82" s="5"/>
      <c r="CU82" s="5"/>
      <c r="CV82" s="5"/>
      <c r="CW82" s="5"/>
      <c r="CX82" s="5"/>
      <c r="CY82" s="5"/>
      <c r="CZ82" s="5"/>
      <c r="DA82" s="5"/>
    </row>
    <row r="83" spans="1:105" x14ac:dyDescent="0.25">
      <c r="A83" s="128"/>
      <c r="B83" s="109"/>
      <c r="C83" s="109"/>
      <c r="D83" s="129"/>
      <c r="E83" s="42"/>
      <c r="P83" s="119"/>
      <c r="S83" s="119"/>
      <c r="T83" s="119"/>
      <c r="U83" s="119"/>
      <c r="V83" s="119"/>
      <c r="W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K83" s="32"/>
      <c r="AM83" s="5"/>
      <c r="AO83" s="5"/>
      <c r="AP83" s="5"/>
      <c r="AQ83" s="5"/>
      <c r="AR83" s="5"/>
      <c r="CS83" s="5"/>
      <c r="CT83" s="5"/>
      <c r="CU83" s="5"/>
      <c r="CV83" s="5"/>
      <c r="CW83" s="5"/>
      <c r="CX83" s="5"/>
      <c r="CY83" s="5"/>
      <c r="CZ83" s="5"/>
      <c r="DA83" s="5"/>
    </row>
    <row r="84" spans="1:105" x14ac:dyDescent="0.25">
      <c r="A84" s="128"/>
      <c r="B84" s="109"/>
      <c r="C84" s="109"/>
      <c r="D84" s="129"/>
      <c r="E84" s="42"/>
      <c r="P84" s="119"/>
      <c r="S84" s="119"/>
      <c r="T84" s="119"/>
      <c r="U84" s="119"/>
      <c r="V84" s="119"/>
      <c r="W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K84" s="32"/>
      <c r="AM84" s="5"/>
      <c r="AO84" s="5"/>
      <c r="AP84" s="5"/>
      <c r="AQ84" s="5"/>
      <c r="AR84" s="5"/>
      <c r="CS84" s="5"/>
      <c r="CT84" s="5"/>
      <c r="CU84" s="5"/>
      <c r="CV84" s="5"/>
      <c r="CW84" s="5"/>
      <c r="CX84" s="5"/>
      <c r="CY84" s="5"/>
      <c r="CZ84" s="5"/>
      <c r="DA84" s="5"/>
    </row>
    <row r="85" spans="1:105" x14ac:dyDescent="0.25">
      <c r="A85" s="128"/>
      <c r="B85" s="109"/>
      <c r="C85" s="109"/>
      <c r="D85" s="129"/>
      <c r="E85" s="42"/>
      <c r="P85" s="119"/>
      <c r="S85" s="119"/>
      <c r="T85" s="119"/>
      <c r="U85" s="119"/>
      <c r="V85" s="119"/>
      <c r="W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K85" s="32"/>
      <c r="AM85" s="5"/>
      <c r="AO85" s="5"/>
      <c r="AP85" s="5"/>
      <c r="AQ85" s="5"/>
      <c r="AR85" s="5"/>
      <c r="CS85" s="5"/>
      <c r="CT85" s="5"/>
      <c r="CU85" s="5"/>
      <c r="CV85" s="5"/>
      <c r="CW85" s="5"/>
      <c r="CX85" s="5"/>
      <c r="CY85" s="5"/>
      <c r="CZ85" s="5"/>
      <c r="DA85" s="5"/>
    </row>
    <row r="86" spans="1:105" x14ac:dyDescent="0.25">
      <c r="A86" s="128"/>
      <c r="B86" s="109"/>
      <c r="C86" s="109"/>
      <c r="D86" s="129"/>
      <c r="E86" s="42"/>
      <c r="P86" s="119"/>
      <c r="S86" s="119"/>
      <c r="T86" s="119"/>
      <c r="U86" s="119"/>
      <c r="V86" s="119"/>
      <c r="W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K86" s="32"/>
      <c r="AM86" s="5"/>
      <c r="AO86" s="5"/>
      <c r="AP86" s="5"/>
      <c r="AQ86" s="5"/>
      <c r="AR86" s="5"/>
      <c r="CS86" s="5"/>
      <c r="CT86" s="5"/>
      <c r="CU86" s="5"/>
      <c r="CV86" s="5"/>
      <c r="CW86" s="5"/>
      <c r="CX86" s="5"/>
      <c r="CY86" s="5"/>
      <c r="CZ86" s="5"/>
      <c r="DA86" s="5"/>
    </row>
    <row r="87" spans="1:105" x14ac:dyDescent="0.25">
      <c r="A87" s="128"/>
      <c r="B87" s="109"/>
      <c r="C87" s="109"/>
      <c r="D87" s="129"/>
      <c r="E87" s="42"/>
      <c r="P87" s="119"/>
      <c r="S87" s="119"/>
      <c r="T87" s="119"/>
      <c r="U87" s="119"/>
      <c r="V87" s="119"/>
      <c r="W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K87" s="32"/>
      <c r="AM87" s="5"/>
      <c r="AO87" s="5"/>
      <c r="AP87" s="5"/>
      <c r="AQ87" s="5"/>
      <c r="AR87" s="5"/>
      <c r="CS87" s="5"/>
      <c r="CT87" s="5"/>
      <c r="CU87" s="5"/>
      <c r="CV87" s="5"/>
      <c r="CW87" s="5"/>
      <c r="CX87" s="5"/>
      <c r="CY87" s="5"/>
      <c r="CZ87" s="5"/>
      <c r="DA87" s="5"/>
    </row>
    <row r="88" spans="1:105" x14ac:dyDescent="0.25">
      <c r="A88" s="128"/>
      <c r="B88" s="109"/>
      <c r="C88" s="109"/>
      <c r="D88" s="129"/>
      <c r="E88" s="42"/>
      <c r="P88" s="119"/>
      <c r="S88" s="119"/>
      <c r="T88" s="119"/>
      <c r="U88" s="119"/>
      <c r="V88" s="119"/>
      <c r="W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K88" s="32"/>
      <c r="AM88" s="5"/>
      <c r="AO88" s="5"/>
      <c r="AP88" s="5"/>
      <c r="AQ88" s="5"/>
      <c r="AR88" s="5"/>
      <c r="CS88" s="5"/>
      <c r="CT88" s="5"/>
      <c r="CU88" s="5"/>
      <c r="CV88" s="5"/>
      <c r="CW88" s="5"/>
      <c r="CX88" s="5"/>
      <c r="CY88" s="5"/>
      <c r="CZ88" s="5"/>
      <c r="DA88" s="5"/>
    </row>
    <row r="89" spans="1:105" x14ac:dyDescent="0.25">
      <c r="A89" s="128"/>
      <c r="B89" s="109"/>
      <c r="C89" s="109"/>
      <c r="D89" s="129"/>
      <c r="E89" s="42"/>
      <c r="P89" s="119"/>
      <c r="S89" s="119"/>
      <c r="T89" s="119"/>
      <c r="U89" s="119"/>
      <c r="V89" s="119"/>
      <c r="W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K89" s="32"/>
      <c r="AM89" s="5"/>
      <c r="AO89" s="5"/>
      <c r="AP89" s="5"/>
      <c r="AQ89" s="5"/>
      <c r="AR89" s="5"/>
      <c r="CS89" s="5"/>
      <c r="CT89" s="5"/>
      <c r="CU89" s="5"/>
      <c r="CV89" s="5"/>
      <c r="CW89" s="5"/>
      <c r="CX89" s="5"/>
      <c r="CY89" s="5"/>
      <c r="CZ89" s="5"/>
      <c r="DA89" s="5"/>
    </row>
    <row r="90" spans="1:105" x14ac:dyDescent="0.25">
      <c r="A90" s="128"/>
      <c r="B90" s="109"/>
      <c r="C90" s="109"/>
      <c r="D90" s="129"/>
      <c r="E90" s="42"/>
      <c r="P90" s="119"/>
      <c r="S90" s="119"/>
      <c r="T90" s="119"/>
      <c r="U90" s="119"/>
      <c r="V90" s="119"/>
      <c r="W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K90" s="32"/>
      <c r="AM90" s="5"/>
      <c r="AO90" s="5"/>
      <c r="AP90" s="5"/>
      <c r="AQ90" s="5"/>
      <c r="AR90" s="5"/>
      <c r="CS90" s="5"/>
      <c r="CT90" s="5"/>
      <c r="CU90" s="5"/>
      <c r="CV90" s="5"/>
      <c r="CW90" s="5"/>
      <c r="CX90" s="5"/>
      <c r="CY90" s="5"/>
      <c r="CZ90" s="5"/>
      <c r="DA90" s="5"/>
    </row>
    <row r="91" spans="1:105" x14ac:dyDescent="0.25">
      <c r="A91" s="128"/>
      <c r="B91" s="109"/>
      <c r="C91" s="109"/>
      <c r="D91" s="129"/>
      <c r="E91" s="42"/>
      <c r="P91" s="119"/>
      <c r="S91" s="119"/>
      <c r="T91" s="119"/>
      <c r="U91" s="119"/>
      <c r="V91" s="119"/>
      <c r="W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K91" s="32"/>
      <c r="AM91" s="5"/>
      <c r="AO91" s="5"/>
      <c r="AP91" s="5"/>
      <c r="AQ91" s="5"/>
      <c r="AR91" s="5"/>
      <c r="CS91" s="5"/>
      <c r="CT91" s="5"/>
      <c r="CU91" s="5"/>
      <c r="CV91" s="5"/>
      <c r="CW91" s="5"/>
      <c r="CX91" s="5"/>
      <c r="CY91" s="5"/>
      <c r="CZ91" s="5"/>
      <c r="DA91" s="5"/>
    </row>
    <row r="92" spans="1:105" x14ac:dyDescent="0.25">
      <c r="A92" s="128"/>
      <c r="B92" s="109"/>
      <c r="C92" s="109"/>
      <c r="D92" s="129"/>
      <c r="E92" s="42"/>
      <c r="P92" s="119"/>
      <c r="S92" s="119"/>
      <c r="T92" s="119"/>
      <c r="U92" s="119"/>
      <c r="V92" s="119"/>
      <c r="W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K92" s="32"/>
      <c r="AM92" s="5"/>
      <c r="AO92" s="5"/>
      <c r="AP92" s="5"/>
      <c r="AQ92" s="5"/>
      <c r="AR92" s="5"/>
      <c r="CS92" s="5"/>
      <c r="CT92" s="5"/>
      <c r="CU92" s="5"/>
      <c r="CV92" s="5"/>
      <c r="CW92" s="5"/>
      <c r="CX92" s="5"/>
      <c r="CY92" s="5"/>
      <c r="CZ92" s="5"/>
      <c r="DA92" s="5"/>
    </row>
    <row r="93" spans="1:105" x14ac:dyDescent="0.25">
      <c r="A93" s="128"/>
      <c r="B93" s="109"/>
      <c r="C93" s="109"/>
      <c r="D93" s="129"/>
      <c r="E93" s="42"/>
      <c r="P93" s="119"/>
      <c r="S93" s="119"/>
      <c r="T93" s="119"/>
      <c r="U93" s="119"/>
      <c r="V93" s="119"/>
      <c r="W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K93" s="32"/>
      <c r="AM93" s="5"/>
      <c r="AO93" s="5"/>
      <c r="AP93" s="5"/>
      <c r="AQ93" s="5"/>
      <c r="AR93" s="5"/>
      <c r="CS93" s="5"/>
      <c r="CT93" s="5"/>
      <c r="CU93" s="5"/>
      <c r="CV93" s="5"/>
      <c r="CW93" s="5"/>
      <c r="CX93" s="5"/>
      <c r="CY93" s="5"/>
      <c r="CZ93" s="5"/>
      <c r="DA93" s="5"/>
    </row>
    <row r="94" spans="1:105" x14ac:dyDescent="0.25">
      <c r="A94" s="128"/>
      <c r="B94" s="109"/>
      <c r="C94" s="109"/>
      <c r="D94" s="129"/>
      <c r="E94" s="42"/>
      <c r="P94" s="119"/>
      <c r="S94" s="119"/>
      <c r="T94" s="119"/>
      <c r="U94" s="119"/>
      <c r="V94" s="119"/>
      <c r="W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K94" s="32"/>
      <c r="AM94" s="5"/>
      <c r="AO94" s="5"/>
      <c r="AP94" s="5"/>
      <c r="AQ94" s="5"/>
      <c r="AR94" s="5"/>
      <c r="CS94" s="5"/>
      <c r="CT94" s="5"/>
      <c r="CU94" s="5"/>
      <c r="CV94" s="5"/>
      <c r="CW94" s="5"/>
      <c r="CX94" s="5"/>
      <c r="CY94" s="5"/>
      <c r="CZ94" s="5"/>
      <c r="DA94" s="5"/>
    </row>
    <row r="95" spans="1:105" x14ac:dyDescent="0.25">
      <c r="A95" s="128"/>
      <c r="B95" s="109"/>
      <c r="C95" s="109"/>
      <c r="D95" s="129"/>
      <c r="E95" s="42"/>
      <c r="P95" s="119"/>
      <c r="S95" s="119"/>
      <c r="T95" s="119"/>
      <c r="U95" s="119"/>
      <c r="V95" s="119"/>
      <c r="W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K95" s="32"/>
      <c r="AM95" s="5"/>
      <c r="AO95" s="5"/>
      <c r="AP95" s="5"/>
      <c r="AQ95" s="5"/>
      <c r="AR95" s="5"/>
      <c r="CS95" s="5"/>
      <c r="CT95" s="5"/>
      <c r="CU95" s="5"/>
      <c r="CV95" s="5"/>
      <c r="CW95" s="5"/>
      <c r="CX95" s="5"/>
      <c r="CY95" s="5"/>
      <c r="CZ95" s="5"/>
      <c r="DA95" s="5"/>
    </row>
    <row r="96" spans="1:105" x14ac:dyDescent="0.25">
      <c r="A96" s="128"/>
      <c r="B96" s="109"/>
      <c r="C96" s="109"/>
      <c r="D96" s="129"/>
      <c r="E96" s="42"/>
      <c r="P96" s="119"/>
      <c r="S96" s="119"/>
      <c r="T96" s="119"/>
      <c r="U96" s="119"/>
      <c r="V96" s="119"/>
      <c r="W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K96" s="32"/>
      <c r="AM96" s="5"/>
      <c r="AO96" s="5"/>
      <c r="AP96" s="5"/>
      <c r="AQ96" s="5"/>
      <c r="AR96" s="5"/>
      <c r="CS96" s="5"/>
      <c r="CT96" s="5"/>
      <c r="CU96" s="5"/>
      <c r="CV96" s="5"/>
      <c r="CW96" s="5"/>
      <c r="CX96" s="5"/>
      <c r="CY96" s="5"/>
      <c r="CZ96" s="5"/>
      <c r="DA96" s="5"/>
    </row>
    <row r="97" spans="1:105" x14ac:dyDescent="0.25">
      <c r="A97" s="128"/>
      <c r="B97" s="109"/>
      <c r="C97" s="109"/>
      <c r="D97" s="129"/>
      <c r="E97" s="42"/>
      <c r="P97" s="119"/>
      <c r="S97" s="119"/>
      <c r="T97" s="119"/>
      <c r="U97" s="119"/>
      <c r="V97" s="119"/>
      <c r="W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K97" s="32"/>
      <c r="AM97" s="5"/>
      <c r="AO97" s="5"/>
      <c r="AP97" s="5"/>
      <c r="AQ97" s="5"/>
      <c r="AR97" s="5"/>
      <c r="CS97" s="5"/>
      <c r="CT97" s="5"/>
      <c r="CU97" s="5"/>
      <c r="CV97" s="5"/>
      <c r="CW97" s="5"/>
      <c r="CX97" s="5"/>
      <c r="CY97" s="5"/>
      <c r="CZ97" s="5"/>
      <c r="DA97" s="5"/>
    </row>
    <row r="98" spans="1:105" x14ac:dyDescent="0.25">
      <c r="A98" s="128"/>
      <c r="B98" s="109"/>
      <c r="C98" s="109"/>
      <c r="D98" s="129"/>
      <c r="E98" s="42"/>
      <c r="P98" s="119"/>
      <c r="S98" s="119"/>
      <c r="T98" s="119"/>
      <c r="U98" s="119"/>
      <c r="V98" s="119"/>
      <c r="W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K98" s="32"/>
      <c r="AM98" s="5"/>
      <c r="AO98" s="5"/>
      <c r="AP98" s="5"/>
      <c r="AQ98" s="5"/>
      <c r="AR98" s="5"/>
      <c r="CS98" s="5"/>
      <c r="CT98" s="5"/>
      <c r="CU98" s="5"/>
      <c r="CV98" s="5"/>
      <c r="CW98" s="5"/>
      <c r="CX98" s="5"/>
      <c r="CY98" s="5"/>
      <c r="CZ98" s="5"/>
      <c r="DA98" s="5"/>
    </row>
    <row r="99" spans="1:105" x14ac:dyDescent="0.25">
      <c r="A99" s="128"/>
      <c r="B99" s="109"/>
      <c r="C99" s="109"/>
      <c r="D99" s="129"/>
      <c r="E99" s="42"/>
      <c r="P99" s="119"/>
      <c r="S99" s="119"/>
      <c r="T99" s="119"/>
      <c r="U99" s="119"/>
      <c r="V99" s="119"/>
      <c r="W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K99" s="32"/>
      <c r="AM99" s="5"/>
      <c r="AO99" s="5"/>
      <c r="AP99" s="5"/>
      <c r="AQ99" s="5"/>
      <c r="AR99" s="5"/>
      <c r="CS99" s="5"/>
      <c r="CT99" s="5"/>
      <c r="CU99" s="5"/>
      <c r="CV99" s="5"/>
      <c r="CW99" s="5"/>
      <c r="CX99" s="5"/>
      <c r="CY99" s="5"/>
      <c r="CZ99" s="5"/>
      <c r="DA99" s="5"/>
    </row>
    <row r="100" spans="1:105" x14ac:dyDescent="0.25">
      <c r="A100" s="128"/>
      <c r="B100" s="109"/>
      <c r="C100" s="109"/>
      <c r="D100" s="129"/>
      <c r="E100" s="42"/>
      <c r="P100" s="119"/>
      <c r="S100" s="119"/>
      <c r="T100" s="119"/>
      <c r="U100" s="119"/>
      <c r="V100" s="119"/>
      <c r="W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K100" s="32"/>
      <c r="AM100" s="5"/>
      <c r="AO100" s="5"/>
      <c r="AP100" s="5"/>
      <c r="AQ100" s="5"/>
      <c r="AR100" s="5"/>
      <c r="CS100" s="5"/>
      <c r="CT100" s="5"/>
      <c r="CU100" s="5"/>
      <c r="CV100" s="5"/>
      <c r="CW100" s="5"/>
      <c r="CX100" s="5"/>
      <c r="CY100" s="5"/>
      <c r="CZ100" s="5"/>
      <c r="DA100" s="5"/>
    </row>
    <row r="101" spans="1:105" x14ac:dyDescent="0.25">
      <c r="A101" s="128"/>
      <c r="B101" s="109"/>
      <c r="C101" s="109"/>
      <c r="D101" s="129"/>
      <c r="E101" s="42"/>
      <c r="P101" s="119"/>
      <c r="S101" s="119"/>
      <c r="T101" s="119"/>
      <c r="U101" s="119"/>
      <c r="V101" s="119"/>
      <c r="W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K101" s="32"/>
      <c r="AM101" s="5"/>
      <c r="AO101" s="5"/>
      <c r="AP101" s="5"/>
      <c r="AQ101" s="5"/>
      <c r="AR101" s="5"/>
      <c r="CS101" s="5"/>
      <c r="CT101" s="5"/>
      <c r="CU101" s="5"/>
      <c r="CV101" s="5"/>
      <c r="CW101" s="5"/>
      <c r="CX101" s="5"/>
      <c r="CY101" s="5"/>
      <c r="CZ101" s="5"/>
      <c r="DA101" s="5"/>
    </row>
    <row r="102" spans="1:105" x14ac:dyDescent="0.25">
      <c r="A102" s="128"/>
      <c r="B102" s="109"/>
      <c r="C102" s="109"/>
      <c r="D102" s="129"/>
      <c r="E102" s="42"/>
      <c r="P102" s="119"/>
      <c r="S102" s="119"/>
      <c r="T102" s="119"/>
      <c r="U102" s="119"/>
      <c r="V102" s="119"/>
      <c r="W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K102" s="32"/>
      <c r="AM102" s="5"/>
      <c r="AO102" s="5"/>
      <c r="AP102" s="5"/>
      <c r="AQ102" s="5"/>
      <c r="AR102" s="5"/>
      <c r="CS102" s="5"/>
      <c r="CT102" s="5"/>
      <c r="CU102" s="5"/>
      <c r="CV102" s="5"/>
      <c r="CW102" s="5"/>
      <c r="CX102" s="5"/>
      <c r="CY102" s="5"/>
      <c r="CZ102" s="5"/>
      <c r="DA102" s="5"/>
    </row>
    <row r="103" spans="1:105" x14ac:dyDescent="0.25">
      <c r="A103" s="128"/>
      <c r="B103" s="109"/>
      <c r="C103" s="109"/>
      <c r="D103" s="129"/>
      <c r="E103" s="42"/>
      <c r="P103" s="119"/>
      <c r="S103" s="119"/>
      <c r="T103" s="119"/>
      <c r="U103" s="119"/>
      <c r="V103" s="119"/>
      <c r="W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K103" s="32"/>
      <c r="AM103" s="5"/>
      <c r="AO103" s="5"/>
      <c r="AP103" s="5"/>
      <c r="AQ103" s="5"/>
      <c r="AR103" s="5"/>
      <c r="CS103" s="5"/>
      <c r="CT103" s="5"/>
      <c r="CU103" s="5"/>
      <c r="CV103" s="5"/>
      <c r="CW103" s="5"/>
      <c r="CX103" s="5"/>
      <c r="CY103" s="5"/>
      <c r="CZ103" s="5"/>
      <c r="DA103" s="5"/>
    </row>
    <row r="104" spans="1:105" x14ac:dyDescent="0.25">
      <c r="A104" s="128"/>
      <c r="B104" s="109"/>
      <c r="C104" s="109"/>
      <c r="D104" s="129"/>
      <c r="E104" s="42"/>
      <c r="P104" s="119"/>
      <c r="S104" s="119"/>
      <c r="T104" s="119"/>
      <c r="U104" s="119"/>
      <c r="V104" s="119"/>
      <c r="W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K104" s="32"/>
      <c r="AM104" s="5"/>
      <c r="AO104" s="5"/>
      <c r="AP104" s="5"/>
      <c r="AQ104" s="5"/>
      <c r="AR104" s="5"/>
      <c r="CS104" s="5"/>
      <c r="CT104" s="5"/>
      <c r="CU104" s="5"/>
      <c r="CV104" s="5"/>
      <c r="CW104" s="5"/>
      <c r="CX104" s="5"/>
      <c r="CY104" s="5"/>
      <c r="CZ104" s="5"/>
      <c r="DA104" s="5"/>
    </row>
    <row r="105" spans="1:105" x14ac:dyDescent="0.25">
      <c r="A105" s="128"/>
      <c r="B105" s="109"/>
      <c r="C105" s="109"/>
      <c r="D105" s="129"/>
      <c r="E105" s="42"/>
      <c r="P105" s="119"/>
      <c r="S105" s="119"/>
      <c r="T105" s="119"/>
      <c r="U105" s="119"/>
      <c r="V105" s="119"/>
      <c r="W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K105" s="32"/>
      <c r="AM105" s="5"/>
      <c r="AO105" s="5"/>
      <c r="AP105" s="5"/>
      <c r="AQ105" s="5"/>
      <c r="AR105" s="5"/>
      <c r="CS105" s="5"/>
      <c r="CT105" s="5"/>
      <c r="CU105" s="5"/>
      <c r="CV105" s="5"/>
      <c r="CW105" s="5"/>
      <c r="CX105" s="5"/>
      <c r="CY105" s="5"/>
      <c r="CZ105" s="5"/>
      <c r="DA105" s="5"/>
    </row>
    <row r="106" spans="1:105" x14ac:dyDescent="0.25">
      <c r="A106" s="128"/>
      <c r="B106" s="109"/>
      <c r="C106" s="109"/>
      <c r="D106" s="129"/>
      <c r="E106" s="42"/>
      <c r="P106" s="119"/>
      <c r="S106" s="119"/>
      <c r="T106" s="119"/>
      <c r="U106" s="119"/>
      <c r="V106" s="119"/>
      <c r="W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K106" s="32"/>
      <c r="AM106" s="5"/>
      <c r="AO106" s="5"/>
      <c r="AP106" s="5"/>
      <c r="AQ106" s="5"/>
      <c r="AR106" s="5"/>
      <c r="CS106" s="5"/>
      <c r="CT106" s="5"/>
      <c r="CU106" s="5"/>
      <c r="CV106" s="5"/>
      <c r="CW106" s="5"/>
      <c r="CX106" s="5"/>
      <c r="CY106" s="5"/>
      <c r="CZ106" s="5"/>
      <c r="DA106" s="5"/>
    </row>
    <row r="107" spans="1:105" x14ac:dyDescent="0.25">
      <c r="A107" s="128"/>
      <c r="B107" s="109"/>
      <c r="C107" s="109"/>
      <c r="D107" s="129"/>
      <c r="E107" s="42"/>
      <c r="P107" s="119"/>
      <c r="S107" s="119"/>
      <c r="T107" s="119"/>
      <c r="U107" s="119"/>
      <c r="V107" s="119"/>
      <c r="W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K107" s="32"/>
      <c r="AM107" s="5"/>
      <c r="AO107" s="5"/>
      <c r="AP107" s="5"/>
      <c r="AQ107" s="5"/>
      <c r="AR107" s="5"/>
      <c r="CS107" s="5"/>
      <c r="CT107" s="5"/>
      <c r="CU107" s="5"/>
      <c r="CV107" s="5"/>
      <c r="CW107" s="5"/>
      <c r="CX107" s="5"/>
      <c r="CY107" s="5"/>
      <c r="CZ107" s="5"/>
      <c r="DA107" s="5"/>
    </row>
    <row r="108" spans="1:105" x14ac:dyDescent="0.25">
      <c r="A108" s="128"/>
      <c r="B108" s="109"/>
      <c r="C108" s="109"/>
      <c r="D108" s="129"/>
      <c r="E108" s="42"/>
      <c r="P108" s="119"/>
      <c r="S108" s="119"/>
      <c r="T108" s="119"/>
      <c r="U108" s="119"/>
      <c r="V108" s="119"/>
      <c r="W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K108" s="32"/>
      <c r="AM108" s="5"/>
      <c r="AO108" s="5"/>
      <c r="AP108" s="5"/>
      <c r="AQ108" s="5"/>
      <c r="AR108" s="5"/>
      <c r="CS108" s="5"/>
      <c r="CT108" s="5"/>
      <c r="CU108" s="5"/>
      <c r="CV108" s="5"/>
      <c r="CW108" s="5"/>
      <c r="CX108" s="5"/>
      <c r="CY108" s="5"/>
      <c r="CZ108" s="5"/>
      <c r="DA108" s="5"/>
    </row>
    <row r="109" spans="1:105" x14ac:dyDescent="0.25">
      <c r="A109" s="128"/>
      <c r="B109" s="109"/>
      <c r="C109" s="109"/>
      <c r="D109" s="129"/>
      <c r="E109" s="42"/>
      <c r="P109" s="119"/>
      <c r="S109" s="119"/>
      <c r="T109" s="119"/>
      <c r="U109" s="119"/>
      <c r="V109" s="119"/>
      <c r="W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K109" s="32"/>
      <c r="AM109" s="5"/>
      <c r="AO109" s="5"/>
      <c r="AP109" s="5"/>
      <c r="AQ109" s="5"/>
      <c r="AR109" s="5"/>
      <c r="CS109" s="5"/>
      <c r="CT109" s="5"/>
      <c r="CU109" s="5"/>
      <c r="CV109" s="5"/>
      <c r="CW109" s="5"/>
      <c r="CX109" s="5"/>
      <c r="CY109" s="5"/>
      <c r="CZ109" s="5"/>
      <c r="DA109" s="5"/>
    </row>
    <row r="110" spans="1:105" x14ac:dyDescent="0.25">
      <c r="A110" s="128"/>
      <c r="B110" s="109"/>
      <c r="C110" s="109"/>
      <c r="D110" s="129"/>
      <c r="E110" s="42"/>
      <c r="P110" s="119"/>
      <c r="S110" s="119"/>
      <c r="T110" s="119"/>
      <c r="U110" s="119"/>
      <c r="V110" s="119"/>
      <c r="W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K110" s="32"/>
      <c r="AM110" s="5"/>
      <c r="AO110" s="5"/>
      <c r="AP110" s="5"/>
      <c r="AQ110" s="5"/>
      <c r="AR110" s="5"/>
      <c r="CS110" s="5"/>
      <c r="CT110" s="5"/>
      <c r="CU110" s="5"/>
      <c r="CV110" s="5"/>
      <c r="CW110" s="5"/>
      <c r="CX110" s="5"/>
      <c r="CY110" s="5"/>
      <c r="CZ110" s="5"/>
      <c r="DA110" s="5"/>
    </row>
    <row r="111" spans="1:105" x14ac:dyDescent="0.25">
      <c r="A111" s="128"/>
      <c r="B111" s="109"/>
      <c r="C111" s="109"/>
      <c r="D111" s="129"/>
      <c r="E111" s="42"/>
      <c r="P111" s="119"/>
      <c r="S111" s="119"/>
      <c r="T111" s="119"/>
      <c r="U111" s="119"/>
      <c r="V111" s="119"/>
      <c r="W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K111" s="32"/>
      <c r="AM111" s="5"/>
      <c r="AO111" s="5"/>
      <c r="AP111" s="5"/>
      <c r="AQ111" s="5"/>
      <c r="AR111" s="5"/>
      <c r="CS111" s="5"/>
      <c r="CT111" s="5"/>
      <c r="CU111" s="5"/>
      <c r="CV111" s="5"/>
      <c r="CW111" s="5"/>
      <c r="CX111" s="5"/>
      <c r="CY111" s="5"/>
      <c r="CZ111" s="5"/>
      <c r="DA111" s="5"/>
    </row>
    <row r="112" spans="1:105" x14ac:dyDescent="0.25">
      <c r="A112" s="128"/>
      <c r="B112" s="109"/>
      <c r="C112" s="109"/>
      <c r="D112" s="129"/>
      <c r="E112" s="42"/>
      <c r="P112" s="119"/>
      <c r="S112" s="119"/>
      <c r="T112" s="119"/>
      <c r="U112" s="119"/>
      <c r="V112" s="119"/>
      <c r="W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K112" s="32"/>
      <c r="AM112" s="5"/>
      <c r="AO112" s="5"/>
      <c r="AP112" s="5"/>
      <c r="AQ112" s="5"/>
      <c r="AR112" s="5"/>
      <c r="CS112" s="5"/>
      <c r="CT112" s="5"/>
      <c r="CU112" s="5"/>
      <c r="CV112" s="5"/>
      <c r="CW112" s="5"/>
      <c r="CX112" s="5"/>
      <c r="CY112" s="5"/>
      <c r="CZ112" s="5"/>
      <c r="DA112" s="5"/>
    </row>
    <row r="113" spans="1:105" x14ac:dyDescent="0.25">
      <c r="A113" s="128"/>
      <c r="B113" s="109"/>
      <c r="C113" s="109"/>
      <c r="D113" s="129"/>
      <c r="E113" s="42"/>
      <c r="P113" s="119"/>
      <c r="S113" s="119"/>
      <c r="T113" s="119"/>
      <c r="U113" s="119"/>
      <c r="V113" s="119"/>
      <c r="W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K113" s="32"/>
      <c r="AM113" s="5"/>
      <c r="AO113" s="5"/>
      <c r="AP113" s="5"/>
      <c r="AQ113" s="5"/>
      <c r="AR113" s="5"/>
      <c r="CS113" s="5"/>
      <c r="CT113" s="5"/>
      <c r="CU113" s="5"/>
      <c r="CV113" s="5"/>
      <c r="CW113" s="5"/>
      <c r="CX113" s="5"/>
      <c r="CY113" s="5"/>
      <c r="CZ113" s="5"/>
      <c r="DA113" s="5"/>
    </row>
    <row r="114" spans="1:105" x14ac:dyDescent="0.25">
      <c r="A114" s="128"/>
      <c r="B114" s="109"/>
      <c r="C114" s="109"/>
      <c r="D114" s="129"/>
      <c r="E114" s="42"/>
      <c r="P114" s="119"/>
      <c r="S114" s="119"/>
      <c r="T114" s="119"/>
      <c r="U114" s="119"/>
      <c r="V114" s="119"/>
      <c r="W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K114" s="32"/>
      <c r="AM114" s="5"/>
      <c r="AO114" s="5"/>
      <c r="AP114" s="5"/>
      <c r="AQ114" s="5"/>
      <c r="AR114" s="5"/>
      <c r="CS114" s="5"/>
      <c r="CT114" s="5"/>
      <c r="CU114" s="5"/>
      <c r="CV114" s="5"/>
      <c r="CW114" s="5"/>
      <c r="CX114" s="5"/>
      <c r="CY114" s="5"/>
      <c r="CZ114" s="5"/>
      <c r="DA114" s="5"/>
    </row>
    <row r="115" spans="1:105" x14ac:dyDescent="0.25">
      <c r="A115" s="128"/>
      <c r="B115" s="109"/>
      <c r="C115" s="109"/>
      <c r="D115" s="129"/>
      <c r="E115" s="42"/>
      <c r="P115" s="119"/>
      <c r="S115" s="119"/>
      <c r="T115" s="119"/>
      <c r="U115" s="119"/>
      <c r="V115" s="119"/>
      <c r="W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K115" s="32"/>
      <c r="AM115" s="5"/>
      <c r="AO115" s="5"/>
      <c r="AP115" s="5"/>
      <c r="AQ115" s="5"/>
      <c r="AR115" s="5"/>
      <c r="CS115" s="5"/>
      <c r="CT115" s="5"/>
      <c r="CU115" s="5"/>
      <c r="CV115" s="5"/>
      <c r="CW115" s="5"/>
      <c r="CX115" s="5"/>
      <c r="CY115" s="5"/>
      <c r="CZ115" s="5"/>
      <c r="DA115" s="5"/>
    </row>
    <row r="116" spans="1:105" x14ac:dyDescent="0.25">
      <c r="A116" s="128"/>
      <c r="B116" s="109"/>
      <c r="C116" s="109"/>
      <c r="D116" s="129"/>
      <c r="E116" s="42"/>
      <c r="P116" s="119"/>
      <c r="S116" s="119"/>
      <c r="T116" s="119"/>
      <c r="U116" s="119"/>
      <c r="V116" s="119"/>
      <c r="W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K116" s="32"/>
      <c r="AM116" s="5"/>
      <c r="AO116" s="5"/>
      <c r="AP116" s="5"/>
      <c r="AQ116" s="5"/>
      <c r="AR116" s="5"/>
      <c r="CS116" s="5"/>
      <c r="CT116" s="5"/>
      <c r="CU116" s="5"/>
      <c r="CV116" s="5"/>
      <c r="CW116" s="5"/>
      <c r="CX116" s="5"/>
      <c r="CY116" s="5"/>
      <c r="CZ116" s="5"/>
      <c r="DA116" s="5"/>
    </row>
    <row r="117" spans="1:105" x14ac:dyDescent="0.25">
      <c r="A117" s="128"/>
      <c r="B117" s="109"/>
      <c r="C117" s="109"/>
      <c r="D117" s="129"/>
      <c r="E117" s="42"/>
      <c r="P117" s="119"/>
      <c r="S117" s="119"/>
      <c r="T117" s="119"/>
      <c r="U117" s="119"/>
      <c r="V117" s="119"/>
      <c r="W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K117" s="32"/>
      <c r="AM117" s="5"/>
      <c r="AO117" s="5"/>
      <c r="AP117" s="5"/>
      <c r="AQ117" s="5"/>
      <c r="AR117" s="5"/>
      <c r="CS117" s="5"/>
      <c r="CT117" s="5"/>
      <c r="CU117" s="5"/>
      <c r="CV117" s="5"/>
      <c r="CW117" s="5"/>
      <c r="CX117" s="5"/>
      <c r="CY117" s="5"/>
      <c r="CZ117" s="5"/>
      <c r="DA117" s="5"/>
    </row>
    <row r="118" spans="1:105" x14ac:dyDescent="0.25">
      <c r="A118" s="128"/>
      <c r="B118" s="109"/>
      <c r="C118" s="109"/>
      <c r="D118" s="129"/>
      <c r="E118" s="42"/>
      <c r="P118" s="119"/>
      <c r="S118" s="119"/>
      <c r="T118" s="119"/>
      <c r="U118" s="119"/>
      <c r="V118" s="119"/>
      <c r="W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K118" s="32"/>
      <c r="AM118" s="5"/>
      <c r="AO118" s="5"/>
      <c r="AP118" s="5"/>
      <c r="AQ118" s="5"/>
      <c r="AR118" s="5"/>
      <c r="CS118" s="5"/>
      <c r="CT118" s="5"/>
      <c r="CU118" s="5"/>
      <c r="CV118" s="5"/>
      <c r="CW118" s="5"/>
      <c r="CX118" s="5"/>
      <c r="CY118" s="5"/>
      <c r="CZ118" s="5"/>
      <c r="DA118" s="5"/>
    </row>
    <row r="119" spans="1:105" x14ac:dyDescent="0.25">
      <c r="A119" s="128"/>
      <c r="B119" s="109"/>
      <c r="C119" s="109"/>
      <c r="D119" s="129"/>
      <c r="E119" s="42"/>
      <c r="P119" s="119"/>
      <c r="S119" s="119"/>
      <c r="T119" s="119"/>
      <c r="U119" s="119"/>
      <c r="V119" s="119"/>
      <c r="W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K119" s="32"/>
      <c r="AM119" s="5"/>
      <c r="AO119" s="5"/>
      <c r="AP119" s="5"/>
      <c r="AQ119" s="5"/>
      <c r="AR119" s="5"/>
      <c r="CS119" s="5"/>
      <c r="CT119" s="5"/>
      <c r="CU119" s="5"/>
      <c r="CV119" s="5"/>
      <c r="CW119" s="5"/>
      <c r="CX119" s="5"/>
      <c r="CY119" s="5"/>
      <c r="CZ119" s="5"/>
      <c r="DA119" s="5"/>
    </row>
    <row r="120" spans="1:105" x14ac:dyDescent="0.25">
      <c r="A120" s="128"/>
      <c r="B120" s="109"/>
      <c r="C120" s="109"/>
      <c r="D120" s="129"/>
      <c r="E120" s="42"/>
      <c r="P120" s="119"/>
      <c r="S120" s="119"/>
      <c r="T120" s="119"/>
      <c r="U120" s="119"/>
      <c r="V120" s="119"/>
      <c r="W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K120" s="32"/>
      <c r="AM120" s="5"/>
      <c r="AO120" s="5"/>
      <c r="AP120" s="5"/>
      <c r="AQ120" s="5"/>
      <c r="AR120" s="5"/>
      <c r="CS120" s="5"/>
      <c r="CT120" s="5"/>
      <c r="CU120" s="5"/>
      <c r="CV120" s="5"/>
      <c r="CW120" s="5"/>
      <c r="CX120" s="5"/>
      <c r="CY120" s="5"/>
      <c r="CZ120" s="5"/>
      <c r="DA120" s="5"/>
    </row>
    <row r="121" spans="1:105" x14ac:dyDescent="0.25">
      <c r="A121" s="128"/>
      <c r="B121" s="109"/>
      <c r="C121" s="109"/>
      <c r="D121" s="129"/>
      <c r="E121" s="42"/>
      <c r="P121" s="119"/>
      <c r="S121" s="119"/>
      <c r="T121" s="119"/>
      <c r="U121" s="119"/>
      <c r="V121" s="119"/>
      <c r="W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K121" s="32"/>
      <c r="AM121" s="5"/>
      <c r="AO121" s="5"/>
      <c r="AP121" s="5"/>
      <c r="AQ121" s="5"/>
      <c r="AR121" s="5"/>
      <c r="CS121" s="5"/>
      <c r="CT121" s="5"/>
      <c r="CU121" s="5"/>
      <c r="CV121" s="5"/>
      <c r="CW121" s="5"/>
      <c r="CX121" s="5"/>
      <c r="CY121" s="5"/>
      <c r="CZ121" s="5"/>
      <c r="DA121" s="5"/>
    </row>
    <row r="122" spans="1:105" x14ac:dyDescent="0.25">
      <c r="A122" s="128"/>
      <c r="B122" s="109"/>
      <c r="C122" s="109"/>
      <c r="D122" s="129"/>
      <c r="E122" s="42"/>
      <c r="P122" s="119"/>
      <c r="S122" s="119"/>
      <c r="T122" s="119"/>
      <c r="U122" s="119"/>
      <c r="V122" s="119"/>
      <c r="W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K122" s="32"/>
      <c r="AM122" s="5"/>
      <c r="AO122" s="5"/>
      <c r="AP122" s="5"/>
      <c r="AQ122" s="5"/>
      <c r="AR122" s="5"/>
      <c r="CS122" s="5"/>
      <c r="CT122" s="5"/>
      <c r="CU122" s="5"/>
      <c r="CV122" s="5"/>
      <c r="CW122" s="5"/>
      <c r="CX122" s="5"/>
      <c r="CY122" s="5"/>
      <c r="CZ122" s="5"/>
      <c r="DA122" s="5"/>
    </row>
    <row r="123" spans="1:105" x14ac:dyDescent="0.25">
      <c r="A123" s="128"/>
      <c r="B123" s="109"/>
      <c r="C123" s="109"/>
      <c r="D123" s="129"/>
      <c r="E123" s="42"/>
      <c r="P123" s="119"/>
      <c r="S123" s="119"/>
      <c r="T123" s="119"/>
      <c r="U123" s="119"/>
      <c r="V123" s="119"/>
      <c r="W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K123" s="32"/>
      <c r="AM123" s="5"/>
      <c r="AO123" s="5"/>
      <c r="AP123" s="5"/>
      <c r="AQ123" s="5"/>
      <c r="AR123" s="5"/>
      <c r="CS123" s="5"/>
      <c r="CT123" s="5"/>
      <c r="CU123" s="5"/>
      <c r="CV123" s="5"/>
      <c r="CW123" s="5"/>
      <c r="CX123" s="5"/>
      <c r="CY123" s="5"/>
      <c r="CZ123" s="5"/>
      <c r="DA123" s="5"/>
    </row>
    <row r="124" spans="1:105" x14ac:dyDescent="0.25">
      <c r="A124" s="128"/>
      <c r="B124" s="109"/>
      <c r="C124" s="109"/>
      <c r="D124" s="129"/>
      <c r="E124" s="42"/>
      <c r="P124" s="119"/>
      <c r="S124" s="119"/>
      <c r="T124" s="119"/>
      <c r="U124" s="119"/>
      <c r="V124" s="119"/>
      <c r="W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K124" s="32"/>
      <c r="AM124" s="5"/>
      <c r="AO124" s="5"/>
      <c r="AP124" s="5"/>
      <c r="AQ124" s="5"/>
      <c r="AR124" s="5"/>
      <c r="CS124" s="5"/>
      <c r="CT124" s="5"/>
      <c r="CU124" s="5"/>
      <c r="CV124" s="5"/>
      <c r="CW124" s="5"/>
      <c r="CX124" s="5"/>
      <c r="CY124" s="5"/>
      <c r="CZ124" s="5"/>
      <c r="DA124" s="5"/>
    </row>
    <row r="125" spans="1:105" x14ac:dyDescent="0.25">
      <c r="A125" s="128"/>
      <c r="B125" s="109"/>
      <c r="C125" s="109"/>
      <c r="D125" s="129"/>
      <c r="E125" s="42"/>
      <c r="P125" s="119"/>
      <c r="S125" s="119"/>
      <c r="T125" s="119"/>
      <c r="U125" s="119"/>
      <c r="V125" s="119"/>
      <c r="W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K125" s="32"/>
      <c r="AM125" s="5"/>
      <c r="AO125" s="5"/>
      <c r="AP125" s="5"/>
      <c r="AQ125" s="5"/>
      <c r="AR125" s="5"/>
      <c r="CS125" s="5"/>
      <c r="CT125" s="5"/>
      <c r="CU125" s="5"/>
      <c r="CV125" s="5"/>
      <c r="CW125" s="5"/>
      <c r="CX125" s="5"/>
      <c r="CY125" s="5"/>
      <c r="CZ125" s="5"/>
      <c r="DA125" s="5"/>
    </row>
    <row r="126" spans="1:105" x14ac:dyDescent="0.25">
      <c r="A126" s="128"/>
      <c r="B126" s="109"/>
      <c r="C126" s="109"/>
      <c r="D126" s="129"/>
      <c r="E126" s="42"/>
      <c r="P126" s="119"/>
      <c r="S126" s="119"/>
      <c r="T126" s="119"/>
      <c r="U126" s="119"/>
      <c r="V126" s="119"/>
      <c r="W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K126" s="32"/>
      <c r="AM126" s="5"/>
      <c r="AO126" s="5"/>
      <c r="AP126" s="5"/>
      <c r="AQ126" s="5"/>
      <c r="AR126" s="5"/>
      <c r="CS126" s="5"/>
      <c r="CT126" s="5"/>
      <c r="CU126" s="5"/>
      <c r="CV126" s="5"/>
      <c r="CW126" s="5"/>
      <c r="CX126" s="5"/>
      <c r="CY126" s="5"/>
      <c r="CZ126" s="5"/>
      <c r="DA126" s="5"/>
    </row>
    <row r="127" spans="1:105" x14ac:dyDescent="0.25">
      <c r="A127" s="128"/>
      <c r="B127" s="109"/>
      <c r="C127" s="109"/>
      <c r="D127" s="129"/>
      <c r="E127" s="42"/>
      <c r="P127" s="119"/>
      <c r="S127" s="119"/>
      <c r="T127" s="119"/>
      <c r="U127" s="119"/>
      <c r="V127" s="119"/>
      <c r="W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K127" s="32"/>
      <c r="AM127" s="5"/>
      <c r="AO127" s="5"/>
      <c r="AP127" s="5"/>
      <c r="AQ127" s="5"/>
      <c r="AR127" s="5"/>
      <c r="CS127" s="5"/>
      <c r="CT127" s="5"/>
      <c r="CU127" s="5"/>
      <c r="CV127" s="5"/>
      <c r="CW127" s="5"/>
      <c r="CX127" s="5"/>
      <c r="CY127" s="5"/>
      <c r="CZ127" s="5"/>
      <c r="DA127" s="5"/>
    </row>
    <row r="128" spans="1:105" x14ac:dyDescent="0.25">
      <c r="A128" s="128"/>
      <c r="B128" s="109"/>
      <c r="C128" s="109"/>
      <c r="D128" s="129"/>
      <c r="E128" s="42"/>
      <c r="P128" s="119"/>
      <c r="S128" s="119"/>
      <c r="T128" s="119"/>
      <c r="U128" s="119"/>
      <c r="V128" s="119"/>
      <c r="W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K128" s="32"/>
      <c r="AM128" s="5"/>
      <c r="AO128" s="5"/>
      <c r="AP128" s="5"/>
      <c r="AQ128" s="5"/>
      <c r="AR128" s="5"/>
      <c r="CS128" s="5"/>
      <c r="CT128" s="5"/>
      <c r="CU128" s="5"/>
      <c r="CV128" s="5"/>
      <c r="CW128" s="5"/>
      <c r="CX128" s="5"/>
      <c r="CY128" s="5"/>
      <c r="CZ128" s="5"/>
      <c r="DA128" s="5"/>
    </row>
    <row r="129" spans="1:105" x14ac:dyDescent="0.25">
      <c r="A129" s="128"/>
      <c r="B129" s="109"/>
      <c r="C129" s="109"/>
      <c r="D129" s="129"/>
      <c r="E129" s="42"/>
      <c r="P129" s="119"/>
      <c r="S129" s="119"/>
      <c r="T129" s="119"/>
      <c r="U129" s="119"/>
      <c r="V129" s="119"/>
      <c r="W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K129" s="32"/>
      <c r="AM129" s="5"/>
      <c r="AO129" s="5"/>
      <c r="AP129" s="5"/>
      <c r="AQ129" s="5"/>
      <c r="AR129" s="5"/>
      <c r="CS129" s="5"/>
      <c r="CT129" s="5"/>
      <c r="CU129" s="5"/>
      <c r="CV129" s="5"/>
      <c r="CW129" s="5"/>
      <c r="CX129" s="5"/>
      <c r="CY129" s="5"/>
      <c r="CZ129" s="5"/>
      <c r="DA129" s="5"/>
    </row>
    <row r="130" spans="1:105" x14ac:dyDescent="0.25">
      <c r="A130" s="128"/>
      <c r="B130" s="109"/>
      <c r="C130" s="109"/>
      <c r="D130" s="129"/>
      <c r="E130" s="42"/>
      <c r="P130" s="119"/>
      <c r="S130" s="119"/>
      <c r="T130" s="119"/>
      <c r="U130" s="119"/>
      <c r="V130" s="119"/>
      <c r="W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K130" s="32"/>
      <c r="AM130" s="5"/>
      <c r="AO130" s="5"/>
      <c r="AP130" s="5"/>
      <c r="AQ130" s="5"/>
      <c r="AR130" s="5"/>
      <c r="CS130" s="5"/>
      <c r="CT130" s="5"/>
      <c r="CU130" s="5"/>
      <c r="CV130" s="5"/>
      <c r="CW130" s="5"/>
      <c r="CX130" s="5"/>
      <c r="CY130" s="5"/>
      <c r="CZ130" s="5"/>
      <c r="DA130" s="5"/>
    </row>
    <row r="131" spans="1:105" x14ac:dyDescent="0.25">
      <c r="A131" s="128"/>
      <c r="B131" s="109"/>
      <c r="C131" s="109"/>
      <c r="D131" s="129"/>
      <c r="E131" s="42"/>
      <c r="P131" s="119"/>
      <c r="S131" s="119"/>
      <c r="T131" s="119"/>
      <c r="U131" s="119"/>
      <c r="V131" s="119"/>
      <c r="W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K131" s="32"/>
      <c r="AM131" s="5"/>
      <c r="AO131" s="5"/>
      <c r="AP131" s="5"/>
      <c r="AQ131" s="5"/>
      <c r="AR131" s="5"/>
      <c r="CS131" s="5"/>
      <c r="CT131" s="5"/>
      <c r="CU131" s="5"/>
      <c r="CV131" s="5"/>
      <c r="CW131" s="5"/>
      <c r="CX131" s="5"/>
      <c r="CY131" s="5"/>
      <c r="CZ131" s="5"/>
      <c r="DA131" s="5"/>
    </row>
    <row r="132" spans="1:105" x14ac:dyDescent="0.25">
      <c r="A132" s="128"/>
      <c r="B132" s="109"/>
      <c r="C132" s="109"/>
      <c r="D132" s="129"/>
      <c r="E132" s="42"/>
      <c r="P132" s="119"/>
      <c r="S132" s="119"/>
      <c r="T132" s="119"/>
      <c r="U132" s="119"/>
      <c r="V132" s="119"/>
      <c r="W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K132" s="32"/>
      <c r="AM132" s="5"/>
      <c r="AO132" s="5"/>
      <c r="AP132" s="5"/>
      <c r="AQ132" s="5"/>
      <c r="AR132" s="5"/>
      <c r="CS132" s="5"/>
      <c r="CT132" s="5"/>
      <c r="CU132" s="5"/>
      <c r="CV132" s="5"/>
      <c r="CW132" s="5"/>
      <c r="CX132" s="5"/>
      <c r="CY132" s="5"/>
      <c r="CZ132" s="5"/>
      <c r="DA132" s="5"/>
    </row>
    <row r="133" spans="1:105" x14ac:dyDescent="0.25">
      <c r="A133" s="128"/>
      <c r="B133" s="109"/>
      <c r="C133" s="109"/>
      <c r="D133" s="129"/>
      <c r="E133" s="42"/>
      <c r="P133" s="119"/>
      <c r="S133" s="119"/>
      <c r="T133" s="119"/>
      <c r="U133" s="119"/>
      <c r="V133" s="119"/>
      <c r="W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K133" s="32"/>
      <c r="AM133" s="5"/>
      <c r="AO133" s="5"/>
      <c r="AP133" s="5"/>
      <c r="AQ133" s="5"/>
      <c r="AR133" s="5"/>
      <c r="CS133" s="5"/>
      <c r="CT133" s="5"/>
      <c r="CU133" s="5"/>
      <c r="CV133" s="5"/>
      <c r="CW133" s="5"/>
      <c r="CX133" s="5"/>
      <c r="CY133" s="5"/>
      <c r="CZ133" s="5"/>
      <c r="DA133" s="5"/>
    </row>
    <row r="134" spans="1:105" x14ac:dyDescent="0.25">
      <c r="A134" s="128"/>
      <c r="B134" s="109"/>
      <c r="C134" s="109"/>
      <c r="D134" s="129"/>
      <c r="E134" s="42"/>
      <c r="P134" s="119"/>
      <c r="S134" s="119"/>
      <c r="T134" s="119"/>
      <c r="U134" s="119"/>
      <c r="V134" s="119"/>
      <c r="W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K134" s="32"/>
      <c r="AM134" s="5"/>
      <c r="AO134" s="5"/>
      <c r="AP134" s="5"/>
      <c r="AQ134" s="5"/>
      <c r="AR134" s="5"/>
      <c r="CS134" s="5"/>
      <c r="CT134" s="5"/>
      <c r="CU134" s="5"/>
      <c r="CV134" s="5"/>
      <c r="CW134" s="5"/>
      <c r="CX134" s="5"/>
      <c r="CY134" s="5"/>
      <c r="CZ134" s="5"/>
      <c r="DA134" s="5"/>
    </row>
    <row r="135" spans="1:105" x14ac:dyDescent="0.25">
      <c r="A135" s="128"/>
      <c r="B135" s="109"/>
      <c r="C135" s="109"/>
      <c r="D135" s="129"/>
      <c r="E135" s="42"/>
      <c r="P135" s="119"/>
      <c r="S135" s="119"/>
      <c r="T135" s="119"/>
      <c r="U135" s="119"/>
      <c r="V135" s="119"/>
      <c r="W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K135" s="32"/>
      <c r="AM135" s="5"/>
      <c r="AO135" s="5"/>
      <c r="AP135" s="5"/>
      <c r="AQ135" s="5"/>
      <c r="AR135" s="5"/>
      <c r="CS135" s="5"/>
      <c r="CT135" s="5"/>
      <c r="CU135" s="5"/>
      <c r="CV135" s="5"/>
      <c r="CW135" s="5"/>
      <c r="CX135" s="5"/>
      <c r="CY135" s="5"/>
      <c r="CZ135" s="5"/>
      <c r="DA135" s="5"/>
    </row>
    <row r="136" spans="1:105" x14ac:dyDescent="0.25">
      <c r="A136" s="128"/>
      <c r="B136" s="109"/>
      <c r="C136" s="109"/>
      <c r="D136" s="129"/>
      <c r="E136" s="42"/>
      <c r="P136" s="119"/>
      <c r="S136" s="119"/>
      <c r="T136" s="119"/>
      <c r="U136" s="119"/>
      <c r="V136" s="119"/>
      <c r="W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K136" s="32"/>
      <c r="AM136" s="5"/>
      <c r="AO136" s="5"/>
      <c r="AP136" s="5"/>
      <c r="AQ136" s="5"/>
      <c r="AR136" s="5"/>
      <c r="CS136" s="5"/>
      <c r="CT136" s="5"/>
      <c r="CU136" s="5"/>
      <c r="CV136" s="5"/>
      <c r="CW136" s="5"/>
      <c r="CX136" s="5"/>
      <c r="CY136" s="5"/>
      <c r="CZ136" s="5"/>
      <c r="DA136" s="5"/>
    </row>
    <row r="137" spans="1:105" x14ac:dyDescent="0.25">
      <c r="A137" s="128"/>
      <c r="B137" s="109"/>
      <c r="C137" s="109"/>
      <c r="D137" s="129"/>
      <c r="E137" s="42"/>
      <c r="P137" s="119"/>
      <c r="S137" s="119"/>
      <c r="T137" s="119"/>
      <c r="U137" s="119"/>
      <c r="V137" s="119"/>
      <c r="W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K137" s="32"/>
      <c r="AM137" s="5"/>
      <c r="AO137" s="5"/>
      <c r="AP137" s="5"/>
      <c r="AQ137" s="5"/>
      <c r="AR137" s="5"/>
      <c r="CS137" s="5"/>
      <c r="CT137" s="5"/>
      <c r="CU137" s="5"/>
      <c r="CV137" s="5"/>
      <c r="CW137" s="5"/>
      <c r="CX137" s="5"/>
      <c r="CY137" s="5"/>
      <c r="CZ137" s="5"/>
      <c r="DA137" s="5"/>
    </row>
    <row r="138" spans="1:105" x14ac:dyDescent="0.25">
      <c r="A138" s="128"/>
      <c r="B138" s="109"/>
      <c r="C138" s="109"/>
      <c r="D138" s="129"/>
      <c r="E138" s="42"/>
      <c r="P138" s="119"/>
      <c r="S138" s="119"/>
      <c r="T138" s="119"/>
      <c r="U138" s="119"/>
      <c r="V138" s="119"/>
      <c r="W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K138" s="32"/>
      <c r="AM138" s="5"/>
      <c r="AO138" s="5"/>
      <c r="AP138" s="5"/>
      <c r="AQ138" s="5"/>
      <c r="AR138" s="5"/>
      <c r="CS138" s="5"/>
      <c r="CT138" s="5"/>
      <c r="CU138" s="5"/>
      <c r="CV138" s="5"/>
      <c r="CW138" s="5"/>
      <c r="CX138" s="5"/>
      <c r="CY138" s="5"/>
      <c r="CZ138" s="5"/>
      <c r="DA138" s="5"/>
    </row>
    <row r="139" spans="1:105" x14ac:dyDescent="0.25">
      <c r="A139" s="128"/>
      <c r="B139" s="109"/>
      <c r="C139" s="109"/>
      <c r="D139" s="129"/>
      <c r="E139" s="42"/>
      <c r="P139" s="119"/>
      <c r="S139" s="119"/>
      <c r="T139" s="119"/>
      <c r="U139" s="119"/>
      <c r="V139" s="119"/>
      <c r="W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K139" s="32"/>
      <c r="AM139" s="5"/>
      <c r="AO139" s="5"/>
      <c r="AP139" s="5"/>
      <c r="AQ139" s="5"/>
      <c r="AR139" s="5"/>
      <c r="CS139" s="5"/>
      <c r="CT139" s="5"/>
      <c r="CU139" s="5"/>
      <c r="CV139" s="5"/>
      <c r="CW139" s="5"/>
      <c r="CX139" s="5"/>
      <c r="CY139" s="5"/>
      <c r="CZ139" s="5"/>
      <c r="DA139" s="5"/>
    </row>
    <row r="140" spans="1:105" x14ac:dyDescent="0.25">
      <c r="A140" s="128"/>
      <c r="B140" s="109"/>
      <c r="C140" s="109"/>
      <c r="D140" s="129"/>
      <c r="E140" s="42"/>
      <c r="P140" s="119"/>
      <c r="S140" s="119"/>
      <c r="T140" s="119"/>
      <c r="U140" s="119"/>
      <c r="V140" s="119"/>
      <c r="W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K140" s="32"/>
      <c r="AM140" s="5"/>
      <c r="AO140" s="5"/>
      <c r="AP140" s="5"/>
      <c r="AQ140" s="5"/>
      <c r="AR140" s="5"/>
      <c r="CS140" s="5"/>
      <c r="CT140" s="5"/>
      <c r="CU140" s="5"/>
      <c r="CV140" s="5"/>
      <c r="CW140" s="5"/>
      <c r="CX140" s="5"/>
      <c r="CY140" s="5"/>
      <c r="CZ140" s="5"/>
      <c r="DA140" s="5"/>
    </row>
    <row r="141" spans="1:105" x14ac:dyDescent="0.25">
      <c r="A141" s="128"/>
      <c r="B141" s="109"/>
      <c r="C141" s="109"/>
      <c r="D141" s="129"/>
      <c r="E141" s="42"/>
      <c r="P141" s="119"/>
      <c r="S141" s="119"/>
      <c r="T141" s="119"/>
      <c r="U141" s="119"/>
      <c r="V141" s="119"/>
      <c r="W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K141" s="32"/>
      <c r="AM141" s="5"/>
      <c r="AO141" s="5"/>
      <c r="AP141" s="5"/>
      <c r="AQ141" s="5"/>
      <c r="AR141" s="5"/>
      <c r="CS141" s="5"/>
      <c r="CT141" s="5"/>
      <c r="CU141" s="5"/>
      <c r="CV141" s="5"/>
      <c r="CW141" s="5"/>
      <c r="CX141" s="5"/>
      <c r="CY141" s="5"/>
      <c r="CZ141" s="5"/>
      <c r="DA141" s="5"/>
    </row>
    <row r="142" spans="1:105" x14ac:dyDescent="0.25">
      <c r="A142" s="128"/>
      <c r="B142" s="109"/>
      <c r="C142" s="109"/>
      <c r="D142" s="129"/>
      <c r="E142" s="42"/>
      <c r="P142" s="119"/>
      <c r="S142" s="119"/>
      <c r="T142" s="119"/>
      <c r="U142" s="119"/>
      <c r="V142" s="119"/>
      <c r="W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K142" s="32"/>
      <c r="AM142" s="5"/>
      <c r="AO142" s="5"/>
      <c r="AP142" s="5"/>
      <c r="AQ142" s="5"/>
      <c r="AR142" s="5"/>
      <c r="CS142" s="5"/>
      <c r="CT142" s="5"/>
      <c r="CU142" s="5"/>
      <c r="CV142" s="5"/>
      <c r="CW142" s="5"/>
      <c r="CX142" s="5"/>
      <c r="CY142" s="5"/>
      <c r="CZ142" s="5"/>
      <c r="DA142" s="5"/>
    </row>
    <row r="143" spans="1:105" x14ac:dyDescent="0.25">
      <c r="A143" s="128"/>
      <c r="B143" s="109"/>
      <c r="C143" s="109"/>
      <c r="D143" s="129"/>
      <c r="E143" s="42"/>
      <c r="P143" s="119"/>
      <c r="S143" s="119"/>
      <c r="T143" s="119"/>
      <c r="U143" s="119"/>
      <c r="V143" s="119"/>
      <c r="W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K143" s="32"/>
      <c r="AM143" s="5"/>
      <c r="AO143" s="5"/>
      <c r="AP143" s="5"/>
      <c r="AQ143" s="5"/>
      <c r="AR143" s="5"/>
      <c r="CS143" s="5"/>
      <c r="CT143" s="5"/>
      <c r="CU143" s="5"/>
      <c r="CV143" s="5"/>
      <c r="CW143" s="5"/>
      <c r="CX143" s="5"/>
      <c r="CY143" s="5"/>
      <c r="CZ143" s="5"/>
      <c r="DA143" s="5"/>
    </row>
    <row r="144" spans="1:105" x14ac:dyDescent="0.25">
      <c r="A144" s="128"/>
      <c r="B144" s="109"/>
      <c r="C144" s="109"/>
      <c r="D144" s="129"/>
      <c r="E144" s="42"/>
      <c r="P144" s="119"/>
      <c r="S144" s="119"/>
      <c r="T144" s="119"/>
      <c r="U144" s="119"/>
      <c r="V144" s="119"/>
      <c r="W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K144" s="32"/>
      <c r="AM144" s="5"/>
      <c r="AO144" s="5"/>
      <c r="AP144" s="5"/>
      <c r="AQ144" s="5"/>
      <c r="AR144" s="5"/>
      <c r="CS144" s="5"/>
      <c r="CT144" s="5"/>
      <c r="CU144" s="5"/>
      <c r="CV144" s="5"/>
      <c r="CW144" s="5"/>
      <c r="CX144" s="5"/>
      <c r="CY144" s="5"/>
      <c r="CZ144" s="5"/>
      <c r="DA144" s="5"/>
    </row>
    <row r="145" spans="1:105" x14ac:dyDescent="0.25">
      <c r="A145" s="128"/>
      <c r="B145" s="109"/>
      <c r="C145" s="109"/>
      <c r="D145" s="129"/>
      <c r="E145" s="42"/>
      <c r="P145" s="119"/>
      <c r="S145" s="119"/>
      <c r="T145" s="119"/>
      <c r="U145" s="119"/>
      <c r="V145" s="119"/>
      <c r="W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K145" s="32"/>
      <c r="AM145" s="5"/>
      <c r="AO145" s="5"/>
      <c r="AP145" s="5"/>
      <c r="AQ145" s="5"/>
      <c r="AR145" s="5"/>
      <c r="CS145" s="5"/>
      <c r="CT145" s="5"/>
      <c r="CU145" s="5"/>
      <c r="CV145" s="5"/>
      <c r="CW145" s="5"/>
      <c r="CX145" s="5"/>
      <c r="CY145" s="5"/>
      <c r="CZ145" s="5"/>
      <c r="DA145" s="5"/>
    </row>
    <row r="146" spans="1:105" x14ac:dyDescent="0.25">
      <c r="A146" s="128"/>
      <c r="B146" s="109"/>
      <c r="C146" s="109"/>
      <c r="D146" s="129"/>
      <c r="E146" s="42"/>
      <c r="P146" s="119"/>
      <c r="S146" s="119"/>
      <c r="T146" s="119"/>
      <c r="U146" s="119"/>
      <c r="V146" s="119"/>
      <c r="W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K146" s="32"/>
      <c r="AM146" s="5"/>
      <c r="AO146" s="5"/>
      <c r="AP146" s="5"/>
      <c r="AQ146" s="5"/>
      <c r="AR146" s="5"/>
      <c r="CS146" s="5"/>
      <c r="CT146" s="5"/>
      <c r="CU146" s="5"/>
      <c r="CV146" s="5"/>
      <c r="CW146" s="5"/>
      <c r="CX146" s="5"/>
      <c r="CY146" s="5"/>
      <c r="CZ146" s="5"/>
      <c r="DA146" s="5"/>
    </row>
    <row r="147" spans="1:105" x14ac:dyDescent="0.25">
      <c r="A147" s="128"/>
      <c r="B147" s="109"/>
      <c r="C147" s="109"/>
      <c r="D147" s="129"/>
      <c r="E147" s="42"/>
      <c r="P147" s="119"/>
      <c r="S147" s="119"/>
      <c r="T147" s="119"/>
      <c r="U147" s="119"/>
      <c r="V147" s="119"/>
      <c r="W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K147" s="32"/>
      <c r="AM147" s="5"/>
      <c r="AO147" s="5"/>
      <c r="AP147" s="5"/>
      <c r="AQ147" s="5"/>
      <c r="AR147" s="5"/>
      <c r="CS147" s="5"/>
      <c r="CT147" s="5"/>
      <c r="CU147" s="5"/>
      <c r="CV147" s="5"/>
      <c r="CW147" s="5"/>
      <c r="CX147" s="5"/>
      <c r="CY147" s="5"/>
      <c r="CZ147" s="5"/>
      <c r="DA147" s="5"/>
    </row>
    <row r="148" spans="1:105" x14ac:dyDescent="0.25">
      <c r="A148" s="128"/>
      <c r="B148" s="109"/>
      <c r="C148" s="109"/>
      <c r="D148" s="129"/>
      <c r="E148" s="42"/>
      <c r="P148" s="119"/>
      <c r="S148" s="119"/>
      <c r="T148" s="119"/>
      <c r="U148" s="119"/>
      <c r="V148" s="119"/>
      <c r="W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K148" s="32"/>
      <c r="AM148" s="5"/>
      <c r="AO148" s="5"/>
      <c r="AP148" s="5"/>
      <c r="AQ148" s="5"/>
      <c r="AR148" s="5"/>
      <c r="CS148" s="5"/>
      <c r="CT148" s="5"/>
      <c r="CU148" s="5"/>
      <c r="CV148" s="5"/>
      <c r="CW148" s="5"/>
      <c r="CX148" s="5"/>
      <c r="CY148" s="5"/>
      <c r="CZ148" s="5"/>
      <c r="DA148" s="5"/>
    </row>
    <row r="149" spans="1:105" x14ac:dyDescent="0.25">
      <c r="A149" s="128"/>
      <c r="B149" s="109"/>
      <c r="C149" s="109"/>
      <c r="D149" s="129"/>
      <c r="E149" s="42"/>
      <c r="P149" s="119"/>
      <c r="S149" s="119"/>
      <c r="T149" s="119"/>
      <c r="U149" s="119"/>
      <c r="V149" s="119"/>
      <c r="W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K149" s="32"/>
      <c r="AM149" s="5"/>
      <c r="AO149" s="5"/>
      <c r="AP149" s="5"/>
      <c r="AQ149" s="5"/>
      <c r="AR149" s="5"/>
      <c r="CS149" s="5"/>
      <c r="CT149" s="5"/>
      <c r="CU149" s="5"/>
      <c r="CV149" s="5"/>
      <c r="CW149" s="5"/>
      <c r="CX149" s="5"/>
      <c r="CY149" s="5"/>
      <c r="CZ149" s="5"/>
      <c r="DA149" s="5"/>
    </row>
    <row r="150" spans="1:105" x14ac:dyDescent="0.25">
      <c r="A150" s="128"/>
      <c r="B150" s="109"/>
      <c r="C150" s="109"/>
      <c r="D150" s="129"/>
      <c r="E150" s="42"/>
      <c r="P150" s="119"/>
      <c r="S150" s="119"/>
      <c r="T150" s="119"/>
      <c r="U150" s="119"/>
      <c r="V150" s="119"/>
      <c r="W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K150" s="32"/>
      <c r="AM150" s="5"/>
      <c r="AO150" s="5"/>
      <c r="AP150" s="5"/>
      <c r="AQ150" s="5"/>
      <c r="AR150" s="5"/>
      <c r="CS150" s="5"/>
      <c r="CT150" s="5"/>
      <c r="CU150" s="5"/>
      <c r="CV150" s="5"/>
      <c r="CW150" s="5"/>
      <c r="CX150" s="5"/>
      <c r="CY150" s="5"/>
      <c r="CZ150" s="5"/>
      <c r="DA150" s="5"/>
    </row>
    <row r="151" spans="1:105" x14ac:dyDescent="0.25">
      <c r="A151" s="128"/>
      <c r="B151" s="109"/>
      <c r="C151" s="109"/>
      <c r="D151" s="129"/>
      <c r="E151" s="42"/>
      <c r="P151" s="119"/>
      <c r="S151" s="119"/>
      <c r="T151" s="119"/>
      <c r="U151" s="119"/>
      <c r="V151" s="119"/>
      <c r="W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K151" s="32"/>
      <c r="AM151" s="5"/>
      <c r="AO151" s="5"/>
      <c r="AP151" s="5"/>
      <c r="AQ151" s="5"/>
      <c r="AR151" s="5"/>
      <c r="CS151" s="5"/>
      <c r="CT151" s="5"/>
      <c r="CU151" s="5"/>
      <c r="CV151" s="5"/>
      <c r="CW151" s="5"/>
      <c r="CX151" s="5"/>
      <c r="CY151" s="5"/>
      <c r="CZ151" s="5"/>
      <c r="DA151" s="5"/>
    </row>
    <row r="152" spans="1:105" x14ac:dyDescent="0.25">
      <c r="A152" s="128"/>
      <c r="B152" s="109"/>
      <c r="C152" s="109"/>
      <c r="D152" s="129"/>
      <c r="E152" s="42"/>
      <c r="P152" s="119"/>
      <c r="S152" s="119"/>
      <c r="T152" s="119"/>
      <c r="U152" s="119"/>
      <c r="V152" s="119"/>
      <c r="W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K152" s="32"/>
      <c r="AM152" s="5"/>
      <c r="AO152" s="5"/>
      <c r="AP152" s="5"/>
      <c r="AQ152" s="5"/>
      <c r="AR152" s="5"/>
      <c r="CS152" s="5"/>
      <c r="CT152" s="5"/>
      <c r="CU152" s="5"/>
      <c r="CV152" s="5"/>
      <c r="CW152" s="5"/>
      <c r="CX152" s="5"/>
      <c r="CY152" s="5"/>
      <c r="CZ152" s="5"/>
      <c r="DA152" s="5"/>
    </row>
    <row r="153" spans="1:105" x14ac:dyDescent="0.25">
      <c r="A153" s="128"/>
      <c r="B153" s="109"/>
      <c r="C153" s="109"/>
      <c r="D153" s="129"/>
      <c r="E153" s="42"/>
      <c r="P153" s="119"/>
      <c r="S153" s="119"/>
      <c r="T153" s="119"/>
      <c r="U153" s="119"/>
      <c r="V153" s="119"/>
      <c r="W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K153" s="32"/>
      <c r="AM153" s="5"/>
      <c r="AO153" s="5"/>
      <c r="AP153" s="5"/>
      <c r="AQ153" s="5"/>
      <c r="AR153" s="5"/>
      <c r="CS153" s="5"/>
      <c r="CT153" s="5"/>
      <c r="CU153" s="5"/>
      <c r="CV153" s="5"/>
      <c r="CW153" s="5"/>
      <c r="CX153" s="5"/>
      <c r="CY153" s="5"/>
      <c r="CZ153" s="5"/>
      <c r="DA153" s="5"/>
    </row>
    <row r="154" spans="1:105" x14ac:dyDescent="0.25">
      <c r="A154" s="128"/>
      <c r="B154" s="109"/>
      <c r="C154" s="109"/>
      <c r="D154" s="129"/>
      <c r="E154" s="42"/>
      <c r="P154" s="119"/>
      <c r="S154" s="119"/>
      <c r="T154" s="119"/>
      <c r="U154" s="119"/>
      <c r="V154" s="119"/>
      <c r="W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K154" s="32"/>
      <c r="AM154" s="5"/>
      <c r="AO154" s="5"/>
      <c r="AP154" s="5"/>
      <c r="AQ154" s="5"/>
      <c r="AR154" s="5"/>
      <c r="CS154" s="5"/>
      <c r="CT154" s="5"/>
      <c r="CU154" s="5"/>
      <c r="CV154" s="5"/>
      <c r="CW154" s="5"/>
      <c r="CX154" s="5"/>
      <c r="CY154" s="5"/>
      <c r="CZ154" s="5"/>
      <c r="DA154" s="5"/>
    </row>
    <row r="155" spans="1:105" x14ac:dyDescent="0.25">
      <c r="A155" s="128"/>
      <c r="B155" s="109"/>
      <c r="C155" s="109"/>
      <c r="D155" s="129"/>
      <c r="E155" s="42"/>
      <c r="P155" s="119"/>
      <c r="S155" s="119"/>
      <c r="T155" s="119"/>
      <c r="U155" s="119"/>
      <c r="V155" s="119"/>
      <c r="W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K155" s="32"/>
      <c r="AM155" s="5"/>
      <c r="AO155" s="5"/>
      <c r="AP155" s="5"/>
      <c r="AQ155" s="5"/>
      <c r="AR155" s="5"/>
      <c r="CS155" s="5"/>
      <c r="CT155" s="5"/>
      <c r="CU155" s="5"/>
      <c r="CV155" s="5"/>
      <c r="CW155" s="5"/>
      <c r="CX155" s="5"/>
      <c r="CY155" s="5"/>
      <c r="CZ155" s="5"/>
      <c r="DA155" s="5"/>
    </row>
    <row r="156" spans="1:105" x14ac:dyDescent="0.25">
      <c r="A156" s="128"/>
      <c r="B156" s="109"/>
      <c r="C156" s="109"/>
      <c r="D156" s="129"/>
      <c r="E156" s="42"/>
      <c r="P156" s="119"/>
      <c r="S156" s="119"/>
      <c r="T156" s="119"/>
      <c r="U156" s="119"/>
      <c r="V156" s="119"/>
      <c r="W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K156" s="32"/>
      <c r="AM156" s="5"/>
      <c r="AO156" s="5"/>
      <c r="AP156" s="5"/>
      <c r="AQ156" s="5"/>
      <c r="AR156" s="5"/>
      <c r="CS156" s="5"/>
      <c r="CT156" s="5"/>
      <c r="CU156" s="5"/>
      <c r="CV156" s="5"/>
      <c r="CW156" s="5"/>
      <c r="CX156" s="5"/>
      <c r="CY156" s="5"/>
      <c r="CZ156" s="5"/>
      <c r="DA156" s="5"/>
    </row>
    <row r="157" spans="1:105" x14ac:dyDescent="0.25">
      <c r="A157" s="128"/>
      <c r="B157" s="109"/>
      <c r="C157" s="109"/>
      <c r="D157" s="129"/>
      <c r="E157" s="42"/>
      <c r="P157" s="119"/>
      <c r="S157" s="119"/>
      <c r="T157" s="119"/>
      <c r="U157" s="119"/>
      <c r="V157" s="119"/>
      <c r="W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K157" s="32"/>
      <c r="AM157" s="5"/>
      <c r="AO157" s="5"/>
      <c r="AP157" s="5"/>
      <c r="AQ157" s="5"/>
      <c r="AR157" s="5"/>
      <c r="CS157" s="5"/>
      <c r="CT157" s="5"/>
      <c r="CU157" s="5"/>
      <c r="CV157" s="5"/>
      <c r="CW157" s="5"/>
      <c r="CX157" s="5"/>
      <c r="CY157" s="5"/>
      <c r="CZ157" s="5"/>
      <c r="DA157" s="5"/>
    </row>
    <row r="158" spans="1:105" x14ac:dyDescent="0.25">
      <c r="A158" s="128"/>
      <c r="B158" s="109"/>
      <c r="C158" s="109"/>
      <c r="D158" s="129"/>
      <c r="E158" s="42"/>
      <c r="P158" s="119"/>
      <c r="S158" s="119"/>
      <c r="T158" s="119"/>
      <c r="U158" s="119"/>
      <c r="V158" s="119"/>
      <c r="W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K158" s="32"/>
      <c r="AM158" s="5"/>
      <c r="AO158" s="5"/>
      <c r="AP158" s="5"/>
      <c r="AQ158" s="5"/>
      <c r="AR158" s="5"/>
      <c r="CS158" s="5"/>
      <c r="CT158" s="5"/>
      <c r="CU158" s="5"/>
      <c r="CV158" s="5"/>
      <c r="CW158" s="5"/>
      <c r="CX158" s="5"/>
      <c r="CY158" s="5"/>
      <c r="CZ158" s="5"/>
      <c r="DA158" s="5"/>
    </row>
    <row r="159" spans="1:105" x14ac:dyDescent="0.25">
      <c r="A159" s="128"/>
      <c r="B159" s="109"/>
      <c r="C159" s="109"/>
      <c r="D159" s="129"/>
      <c r="E159" s="42"/>
      <c r="P159" s="119"/>
      <c r="S159" s="119"/>
      <c r="T159" s="119"/>
      <c r="U159" s="119"/>
      <c r="V159" s="119"/>
      <c r="W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K159" s="32"/>
      <c r="AM159" s="5"/>
      <c r="AO159" s="5"/>
      <c r="AP159" s="5"/>
      <c r="AQ159" s="5"/>
      <c r="AR159" s="5"/>
      <c r="CS159" s="5"/>
      <c r="CT159" s="5"/>
      <c r="CU159" s="5"/>
      <c r="CV159" s="5"/>
      <c r="CW159" s="5"/>
      <c r="CX159" s="5"/>
      <c r="CY159" s="5"/>
      <c r="CZ159" s="5"/>
      <c r="DA159" s="5"/>
    </row>
    <row r="160" spans="1:105" x14ac:dyDescent="0.25">
      <c r="A160" s="128"/>
      <c r="B160" s="109"/>
      <c r="C160" s="109"/>
      <c r="D160" s="129"/>
      <c r="E160" s="42"/>
      <c r="P160" s="119"/>
      <c r="S160" s="119"/>
      <c r="T160" s="119"/>
      <c r="U160" s="119"/>
      <c r="V160" s="119"/>
      <c r="W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K160" s="32"/>
      <c r="AM160" s="5"/>
      <c r="AO160" s="5"/>
      <c r="AP160" s="5"/>
      <c r="AQ160" s="5"/>
      <c r="AR160" s="5"/>
      <c r="CS160" s="5"/>
      <c r="CT160" s="5"/>
      <c r="CU160" s="5"/>
      <c r="CV160" s="5"/>
      <c r="CW160" s="5"/>
      <c r="CX160" s="5"/>
      <c r="CY160" s="5"/>
      <c r="CZ160" s="5"/>
      <c r="DA160" s="5"/>
    </row>
    <row r="161" spans="1:105" x14ac:dyDescent="0.25">
      <c r="A161" s="128"/>
      <c r="B161" s="109"/>
      <c r="C161" s="109"/>
      <c r="D161" s="129"/>
      <c r="E161" s="42"/>
      <c r="P161" s="119"/>
      <c r="S161" s="119"/>
      <c r="T161" s="119"/>
      <c r="U161" s="119"/>
      <c r="V161" s="119"/>
      <c r="W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K161" s="32"/>
      <c r="AM161" s="5"/>
      <c r="AO161" s="5"/>
      <c r="AP161" s="5"/>
      <c r="AQ161" s="5"/>
      <c r="AR161" s="5"/>
      <c r="CS161" s="5"/>
      <c r="CT161" s="5"/>
      <c r="CU161" s="5"/>
      <c r="CV161" s="5"/>
      <c r="CW161" s="5"/>
      <c r="CX161" s="5"/>
      <c r="CY161" s="5"/>
      <c r="CZ161" s="5"/>
      <c r="DA161" s="5"/>
    </row>
    <row r="162" spans="1:105" x14ac:dyDescent="0.25">
      <c r="A162" s="128"/>
      <c r="B162" s="109"/>
      <c r="C162" s="109"/>
      <c r="D162" s="129"/>
      <c r="E162" s="42"/>
      <c r="P162" s="119"/>
      <c r="S162" s="119"/>
      <c r="T162" s="119"/>
      <c r="U162" s="119"/>
      <c r="V162" s="119"/>
      <c r="W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K162" s="32"/>
      <c r="AM162" s="5"/>
      <c r="AO162" s="5"/>
      <c r="AP162" s="5"/>
      <c r="AQ162" s="5"/>
      <c r="AR162" s="5"/>
      <c r="CS162" s="5"/>
      <c r="CT162" s="5"/>
      <c r="CU162" s="5"/>
      <c r="CV162" s="5"/>
      <c r="CW162" s="5"/>
      <c r="CX162" s="5"/>
      <c r="CY162" s="5"/>
      <c r="CZ162" s="5"/>
      <c r="DA162" s="5"/>
    </row>
    <row r="163" spans="1:105" x14ac:dyDescent="0.25">
      <c r="A163" s="128"/>
      <c r="B163" s="109"/>
      <c r="C163" s="109"/>
      <c r="D163" s="129"/>
      <c r="E163" s="42"/>
      <c r="P163" s="119"/>
      <c r="S163" s="119"/>
      <c r="T163" s="119"/>
      <c r="U163" s="119"/>
      <c r="V163" s="119"/>
      <c r="W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K163" s="32"/>
      <c r="AM163" s="5"/>
      <c r="AO163" s="5"/>
      <c r="AP163" s="5"/>
      <c r="AQ163" s="5"/>
      <c r="AR163" s="5"/>
      <c r="CS163" s="5"/>
      <c r="CT163" s="5"/>
      <c r="CU163" s="5"/>
      <c r="CV163" s="5"/>
      <c r="CW163" s="5"/>
      <c r="CX163" s="5"/>
      <c r="CY163" s="5"/>
      <c r="CZ163" s="5"/>
      <c r="DA163" s="5"/>
    </row>
    <row r="164" spans="1:105" x14ac:dyDescent="0.25">
      <c r="A164" s="128"/>
      <c r="B164" s="109"/>
      <c r="C164" s="109"/>
      <c r="D164" s="129"/>
      <c r="E164" s="42"/>
      <c r="P164" s="119"/>
      <c r="S164" s="119"/>
      <c r="T164" s="119"/>
      <c r="U164" s="119"/>
      <c r="V164" s="119"/>
      <c r="W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K164" s="32"/>
      <c r="AM164" s="5"/>
      <c r="AO164" s="5"/>
      <c r="AP164" s="5"/>
      <c r="AQ164" s="5"/>
      <c r="AR164" s="5"/>
      <c r="CS164" s="5"/>
      <c r="CT164" s="5"/>
      <c r="CU164" s="5"/>
      <c r="CV164" s="5"/>
      <c r="CW164" s="5"/>
      <c r="CX164" s="5"/>
      <c r="CY164" s="5"/>
      <c r="CZ164" s="5"/>
      <c r="DA164" s="5"/>
    </row>
    <row r="165" spans="1:105" x14ac:dyDescent="0.25">
      <c r="A165" s="128"/>
      <c r="B165" s="109"/>
      <c r="C165" s="109"/>
      <c r="D165" s="129"/>
      <c r="E165" s="42"/>
      <c r="P165" s="119"/>
      <c r="S165" s="119"/>
      <c r="T165" s="119"/>
      <c r="U165" s="119"/>
      <c r="V165" s="119"/>
      <c r="W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K165" s="32"/>
      <c r="AM165" s="5"/>
      <c r="AO165" s="5"/>
      <c r="AP165" s="5"/>
      <c r="AQ165" s="5"/>
      <c r="AR165" s="5"/>
      <c r="CS165" s="5"/>
      <c r="CT165" s="5"/>
      <c r="CU165" s="5"/>
      <c r="CV165" s="5"/>
      <c r="CW165" s="5"/>
      <c r="CX165" s="5"/>
      <c r="CY165" s="5"/>
      <c r="CZ165" s="5"/>
      <c r="DA165" s="5"/>
    </row>
    <row r="166" spans="1:105" x14ac:dyDescent="0.25">
      <c r="A166" s="128"/>
      <c r="B166" s="109"/>
      <c r="C166" s="109"/>
      <c r="D166" s="129"/>
      <c r="E166" s="42"/>
      <c r="P166" s="119"/>
      <c r="S166" s="119"/>
      <c r="T166" s="119"/>
      <c r="U166" s="119"/>
      <c r="V166" s="119"/>
      <c r="W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K166" s="32"/>
      <c r="AM166" s="5"/>
      <c r="AO166" s="5"/>
      <c r="AP166" s="5"/>
      <c r="AQ166" s="5"/>
      <c r="AR166" s="5"/>
      <c r="CS166" s="5"/>
      <c r="CT166" s="5"/>
      <c r="CU166" s="5"/>
      <c r="CV166" s="5"/>
      <c r="CW166" s="5"/>
      <c r="CX166" s="5"/>
      <c r="CY166" s="5"/>
      <c r="CZ166" s="5"/>
      <c r="DA166" s="5"/>
    </row>
    <row r="167" spans="1:105" x14ac:dyDescent="0.25">
      <c r="A167" s="128"/>
      <c r="B167" s="109"/>
      <c r="C167" s="109"/>
      <c r="D167" s="129"/>
      <c r="E167" s="42"/>
      <c r="P167" s="119"/>
      <c r="S167" s="119"/>
      <c r="T167" s="119"/>
      <c r="U167" s="119"/>
      <c r="V167" s="119"/>
      <c r="W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K167" s="32"/>
      <c r="AM167" s="5"/>
      <c r="AO167" s="5"/>
      <c r="AP167" s="5"/>
      <c r="AQ167" s="5"/>
      <c r="AR167" s="5"/>
      <c r="CS167" s="5"/>
      <c r="CT167" s="5"/>
      <c r="CU167" s="5"/>
      <c r="CV167" s="5"/>
      <c r="CW167" s="5"/>
      <c r="CX167" s="5"/>
      <c r="CY167" s="5"/>
      <c r="CZ167" s="5"/>
      <c r="DA167" s="5"/>
    </row>
    <row r="168" spans="1:105" x14ac:dyDescent="0.25">
      <c r="A168" s="128"/>
      <c r="B168" s="109"/>
      <c r="C168" s="109"/>
      <c r="D168" s="129"/>
      <c r="E168" s="42"/>
      <c r="P168" s="119"/>
      <c r="S168" s="119"/>
      <c r="T168" s="119"/>
      <c r="U168" s="119"/>
      <c r="V168" s="119"/>
      <c r="W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K168" s="32"/>
      <c r="AM168" s="5"/>
      <c r="AO168" s="5"/>
      <c r="AP168" s="5"/>
      <c r="AQ168" s="5"/>
      <c r="AR168" s="5"/>
      <c r="CS168" s="5"/>
      <c r="CT168" s="5"/>
      <c r="CU168" s="5"/>
      <c r="CV168" s="5"/>
      <c r="CW168" s="5"/>
      <c r="CX168" s="5"/>
      <c r="CY168" s="5"/>
      <c r="CZ168" s="5"/>
      <c r="DA168" s="5"/>
    </row>
    <row r="169" spans="1:105" x14ac:dyDescent="0.25">
      <c r="A169" s="128"/>
      <c r="B169" s="109"/>
      <c r="C169" s="109"/>
      <c r="D169" s="129"/>
      <c r="E169" s="42"/>
      <c r="P169" s="119"/>
      <c r="S169" s="119"/>
      <c r="T169" s="119"/>
      <c r="U169" s="119"/>
      <c r="V169" s="119"/>
      <c r="W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K169" s="32"/>
      <c r="AM169" s="5"/>
      <c r="AO169" s="5"/>
      <c r="AP169" s="5"/>
      <c r="AQ169" s="5"/>
      <c r="AR169" s="5"/>
      <c r="CS169" s="5"/>
      <c r="CT169" s="5"/>
      <c r="CU169" s="5"/>
      <c r="CV169" s="5"/>
      <c r="CW169" s="5"/>
      <c r="CX169" s="5"/>
      <c r="CY169" s="5"/>
      <c r="CZ169" s="5"/>
      <c r="DA169" s="5"/>
    </row>
    <row r="170" spans="1:105" x14ac:dyDescent="0.25">
      <c r="A170" s="128"/>
      <c r="B170" s="109"/>
      <c r="C170" s="109"/>
      <c r="D170" s="129"/>
      <c r="E170" s="42"/>
      <c r="P170" s="119"/>
      <c r="S170" s="119"/>
      <c r="T170" s="119"/>
      <c r="U170" s="119"/>
      <c r="V170" s="119"/>
      <c r="W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K170" s="32"/>
      <c r="AM170" s="5"/>
      <c r="AO170" s="5"/>
      <c r="AP170" s="5"/>
      <c r="AQ170" s="5"/>
      <c r="AR170" s="5"/>
      <c r="CS170" s="5"/>
      <c r="CT170" s="5"/>
      <c r="CU170" s="5"/>
      <c r="CV170" s="5"/>
      <c r="CW170" s="5"/>
      <c r="CX170" s="5"/>
      <c r="CY170" s="5"/>
      <c r="CZ170" s="5"/>
      <c r="DA170" s="5"/>
    </row>
    <row r="171" spans="1:105" x14ac:dyDescent="0.25">
      <c r="A171" s="128"/>
      <c r="B171" s="109"/>
      <c r="C171" s="109"/>
      <c r="D171" s="129"/>
      <c r="E171" s="42"/>
      <c r="P171" s="119"/>
      <c r="S171" s="119"/>
      <c r="T171" s="119"/>
      <c r="U171" s="119"/>
      <c r="V171" s="119"/>
      <c r="W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K171" s="32"/>
      <c r="AM171" s="5"/>
      <c r="AO171" s="5"/>
      <c r="AP171" s="5"/>
      <c r="AQ171" s="5"/>
      <c r="AR171" s="5"/>
      <c r="CS171" s="5"/>
      <c r="CT171" s="5"/>
      <c r="CU171" s="5"/>
      <c r="CV171" s="5"/>
      <c r="CW171" s="5"/>
      <c r="CX171" s="5"/>
      <c r="CY171" s="5"/>
      <c r="CZ171" s="5"/>
      <c r="DA171" s="5"/>
    </row>
    <row r="172" spans="1:105" x14ac:dyDescent="0.25">
      <c r="A172" s="128"/>
      <c r="B172" s="109"/>
      <c r="C172" s="109"/>
      <c r="D172" s="129"/>
      <c r="E172" s="42"/>
      <c r="P172" s="119"/>
      <c r="S172" s="119"/>
      <c r="T172" s="119"/>
      <c r="U172" s="119"/>
      <c r="V172" s="119"/>
      <c r="W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K172" s="32"/>
      <c r="AM172" s="5"/>
      <c r="AO172" s="5"/>
      <c r="AP172" s="5"/>
      <c r="AQ172" s="5"/>
      <c r="AR172" s="5"/>
      <c r="CS172" s="5"/>
      <c r="CT172" s="5"/>
      <c r="CU172" s="5"/>
      <c r="CV172" s="5"/>
      <c r="CW172" s="5"/>
      <c r="CX172" s="5"/>
      <c r="CY172" s="5"/>
      <c r="CZ172" s="5"/>
      <c r="DA172" s="5"/>
    </row>
    <row r="173" spans="1:105" x14ac:dyDescent="0.25">
      <c r="A173" s="128"/>
      <c r="B173" s="109"/>
      <c r="C173" s="109"/>
      <c r="D173" s="129"/>
      <c r="E173" s="42"/>
      <c r="P173" s="119"/>
      <c r="S173" s="119"/>
      <c r="T173" s="119"/>
      <c r="U173" s="119"/>
      <c r="V173" s="119"/>
      <c r="W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K173" s="32"/>
      <c r="AM173" s="5"/>
      <c r="AO173" s="5"/>
      <c r="AP173" s="5"/>
      <c r="AQ173" s="5"/>
      <c r="AR173" s="5"/>
      <c r="CS173" s="5"/>
      <c r="CT173" s="5"/>
      <c r="CU173" s="5"/>
      <c r="CV173" s="5"/>
      <c r="CW173" s="5"/>
      <c r="CX173" s="5"/>
      <c r="CY173" s="5"/>
      <c r="CZ173" s="5"/>
      <c r="DA173" s="5"/>
    </row>
    <row r="174" spans="1:105" x14ac:dyDescent="0.25">
      <c r="A174" s="128"/>
      <c r="B174" s="109"/>
      <c r="C174" s="109"/>
      <c r="D174" s="129"/>
      <c r="E174" s="42"/>
      <c r="P174" s="119"/>
      <c r="S174" s="119"/>
      <c r="T174" s="119"/>
      <c r="U174" s="119"/>
      <c r="V174" s="119"/>
      <c r="W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K174" s="32"/>
      <c r="AM174" s="5"/>
      <c r="AO174" s="5"/>
      <c r="AP174" s="5"/>
      <c r="AQ174" s="5"/>
      <c r="AR174" s="5"/>
      <c r="CS174" s="5"/>
      <c r="CT174" s="5"/>
      <c r="CU174" s="5"/>
      <c r="CV174" s="5"/>
      <c r="CW174" s="5"/>
      <c r="CX174" s="5"/>
      <c r="CY174" s="5"/>
      <c r="CZ174" s="5"/>
      <c r="DA174" s="5"/>
    </row>
    <row r="175" spans="1:105" x14ac:dyDescent="0.25">
      <c r="A175" s="128"/>
      <c r="B175" s="109"/>
      <c r="C175" s="109"/>
      <c r="D175" s="129"/>
      <c r="E175" s="42"/>
      <c r="P175" s="119"/>
      <c r="S175" s="119"/>
      <c r="T175" s="119"/>
      <c r="U175" s="119"/>
      <c r="V175" s="119"/>
      <c r="W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K175" s="32"/>
      <c r="AM175" s="5"/>
      <c r="AO175" s="5"/>
      <c r="AP175" s="5"/>
      <c r="AQ175" s="5"/>
      <c r="AR175" s="5"/>
      <c r="CS175" s="5"/>
      <c r="CT175" s="5"/>
      <c r="CU175" s="5"/>
      <c r="CV175" s="5"/>
      <c r="CW175" s="5"/>
      <c r="CX175" s="5"/>
      <c r="CY175" s="5"/>
      <c r="CZ175" s="5"/>
      <c r="DA175" s="5"/>
    </row>
    <row r="176" spans="1:105" x14ac:dyDescent="0.25">
      <c r="A176" s="128"/>
      <c r="B176" s="109"/>
      <c r="C176" s="109"/>
      <c r="D176" s="129"/>
      <c r="E176" s="42"/>
      <c r="P176" s="119"/>
      <c r="S176" s="119"/>
      <c r="T176" s="119"/>
      <c r="U176" s="119"/>
      <c r="V176" s="119"/>
      <c r="W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K176" s="32"/>
      <c r="AM176" s="5"/>
      <c r="AO176" s="5"/>
      <c r="AP176" s="5"/>
      <c r="AQ176" s="5"/>
      <c r="AR176" s="5"/>
      <c r="CS176" s="5"/>
      <c r="CT176" s="5"/>
      <c r="CU176" s="5"/>
      <c r="CV176" s="5"/>
      <c r="CW176" s="5"/>
      <c r="CX176" s="5"/>
      <c r="CY176" s="5"/>
      <c r="CZ176" s="5"/>
      <c r="DA176" s="5"/>
    </row>
    <row r="177" spans="1:105" x14ac:dyDescent="0.25">
      <c r="A177" s="128"/>
      <c r="B177" s="109"/>
      <c r="C177" s="109"/>
      <c r="D177" s="129"/>
      <c r="E177" s="42"/>
      <c r="P177" s="119"/>
      <c r="S177" s="119"/>
      <c r="T177" s="119"/>
      <c r="U177" s="119"/>
      <c r="V177" s="119"/>
      <c r="W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K177" s="32"/>
      <c r="AM177" s="5"/>
      <c r="AO177" s="5"/>
      <c r="AP177" s="5"/>
      <c r="AQ177" s="5"/>
      <c r="AR177" s="5"/>
      <c r="CS177" s="5"/>
      <c r="CT177" s="5"/>
      <c r="CU177" s="5"/>
      <c r="CV177" s="5"/>
      <c r="CW177" s="5"/>
      <c r="CX177" s="5"/>
      <c r="CY177" s="5"/>
      <c r="CZ177" s="5"/>
      <c r="DA177" s="5"/>
    </row>
    <row r="178" spans="1:105" x14ac:dyDescent="0.25">
      <c r="A178" s="128"/>
      <c r="B178" s="109"/>
      <c r="C178" s="109"/>
      <c r="D178" s="129"/>
      <c r="E178" s="42"/>
      <c r="P178" s="119"/>
      <c r="S178" s="119"/>
      <c r="T178" s="119"/>
      <c r="U178" s="119"/>
      <c r="V178" s="119"/>
      <c r="W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K178" s="32"/>
      <c r="AM178" s="5"/>
      <c r="AO178" s="5"/>
      <c r="AP178" s="5"/>
      <c r="AQ178" s="5"/>
      <c r="AR178" s="5"/>
      <c r="CS178" s="5"/>
      <c r="CT178" s="5"/>
      <c r="CU178" s="5"/>
      <c r="CV178" s="5"/>
      <c r="CW178" s="5"/>
      <c r="CX178" s="5"/>
      <c r="CY178" s="5"/>
      <c r="CZ178" s="5"/>
      <c r="DA178" s="5"/>
    </row>
    <row r="179" spans="1:105" x14ac:dyDescent="0.25">
      <c r="A179" s="128"/>
      <c r="B179" s="109"/>
      <c r="C179" s="109"/>
      <c r="D179" s="129"/>
      <c r="E179" s="42"/>
      <c r="P179" s="119"/>
      <c r="S179" s="119"/>
      <c r="T179" s="119"/>
      <c r="U179" s="119"/>
      <c r="V179" s="119"/>
      <c r="W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K179" s="32"/>
      <c r="AM179" s="5"/>
      <c r="AO179" s="5"/>
      <c r="AP179" s="5"/>
      <c r="AQ179" s="5"/>
      <c r="AR179" s="5"/>
      <c r="CS179" s="5"/>
      <c r="CT179" s="5"/>
      <c r="CU179" s="5"/>
      <c r="CV179" s="5"/>
      <c r="CW179" s="5"/>
      <c r="CX179" s="5"/>
      <c r="CY179" s="5"/>
      <c r="CZ179" s="5"/>
      <c r="DA179" s="5"/>
    </row>
    <row r="180" spans="1:105" x14ac:dyDescent="0.25">
      <c r="A180" s="128"/>
      <c r="B180" s="109"/>
      <c r="C180" s="109"/>
      <c r="D180" s="129"/>
      <c r="E180" s="42"/>
      <c r="P180" s="119"/>
      <c r="S180" s="119"/>
      <c r="T180" s="119"/>
      <c r="U180" s="119"/>
      <c r="V180" s="119"/>
      <c r="W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K180" s="32"/>
      <c r="AM180" s="5"/>
      <c r="AO180" s="5"/>
      <c r="AP180" s="5"/>
      <c r="AQ180" s="5"/>
      <c r="AR180" s="5"/>
      <c r="CS180" s="5"/>
      <c r="CT180" s="5"/>
      <c r="CU180" s="5"/>
      <c r="CV180" s="5"/>
      <c r="CW180" s="5"/>
      <c r="CX180" s="5"/>
      <c r="CY180" s="5"/>
      <c r="CZ180" s="5"/>
      <c r="DA180" s="5"/>
    </row>
    <row r="181" spans="1:105" x14ac:dyDescent="0.25">
      <c r="A181" s="128"/>
      <c r="B181" s="109"/>
      <c r="C181" s="109"/>
      <c r="D181" s="129"/>
      <c r="E181" s="42"/>
      <c r="P181" s="119"/>
      <c r="S181" s="119"/>
      <c r="T181" s="119"/>
      <c r="U181" s="119"/>
      <c r="V181" s="119"/>
      <c r="W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K181" s="32"/>
      <c r="AM181" s="5"/>
      <c r="AO181" s="5"/>
      <c r="AP181" s="5"/>
      <c r="AQ181" s="5"/>
      <c r="AR181" s="5"/>
      <c r="CS181" s="5"/>
      <c r="CT181" s="5"/>
      <c r="CU181" s="5"/>
      <c r="CV181" s="5"/>
      <c r="CW181" s="5"/>
      <c r="CX181" s="5"/>
      <c r="CY181" s="5"/>
      <c r="CZ181" s="5"/>
      <c r="DA181" s="5"/>
    </row>
    <row r="182" spans="1:105" x14ac:dyDescent="0.25">
      <c r="A182" s="128"/>
      <c r="B182" s="109"/>
      <c r="C182" s="109"/>
      <c r="D182" s="129"/>
      <c r="E182" s="42"/>
      <c r="P182" s="119"/>
      <c r="S182" s="119"/>
      <c r="T182" s="119"/>
      <c r="U182" s="119"/>
      <c r="V182" s="119"/>
      <c r="W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K182" s="32"/>
      <c r="AM182" s="5"/>
      <c r="AO182" s="5"/>
      <c r="AP182" s="5"/>
      <c r="AQ182" s="5"/>
      <c r="AR182" s="5"/>
      <c r="CS182" s="5"/>
      <c r="CT182" s="5"/>
      <c r="CU182" s="5"/>
      <c r="CV182" s="5"/>
      <c r="CW182" s="5"/>
      <c r="CX182" s="5"/>
      <c r="CY182" s="5"/>
      <c r="CZ182" s="5"/>
      <c r="DA182" s="5"/>
    </row>
    <row r="183" spans="1:105" x14ac:dyDescent="0.25">
      <c r="A183" s="128"/>
      <c r="B183" s="109"/>
      <c r="C183" s="109"/>
      <c r="D183" s="129"/>
      <c r="E183" s="42"/>
      <c r="P183" s="119"/>
      <c r="S183" s="119"/>
      <c r="T183" s="119"/>
      <c r="U183" s="119"/>
      <c r="V183" s="119"/>
      <c r="W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K183" s="32"/>
      <c r="AM183" s="5"/>
      <c r="AO183" s="5"/>
      <c r="AP183" s="5"/>
      <c r="AQ183" s="5"/>
      <c r="AR183" s="5"/>
      <c r="CS183" s="5"/>
      <c r="CT183" s="5"/>
      <c r="CU183" s="5"/>
      <c r="CV183" s="5"/>
      <c r="CW183" s="5"/>
      <c r="CX183" s="5"/>
      <c r="CY183" s="5"/>
      <c r="CZ183" s="5"/>
      <c r="DA183" s="5"/>
    </row>
    <row r="184" spans="1:105" x14ac:dyDescent="0.25">
      <c r="A184" s="128"/>
      <c r="B184" s="109"/>
      <c r="C184" s="109"/>
      <c r="D184" s="129"/>
      <c r="E184" s="42"/>
      <c r="P184" s="119"/>
      <c r="S184" s="119"/>
      <c r="T184" s="119"/>
      <c r="U184" s="119"/>
      <c r="V184" s="119"/>
      <c r="W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K184" s="32"/>
      <c r="AM184" s="5"/>
      <c r="AO184" s="5"/>
      <c r="AP184" s="5"/>
      <c r="AQ184" s="5"/>
      <c r="AR184" s="5"/>
      <c r="CS184" s="5"/>
      <c r="CT184" s="5"/>
      <c r="CU184" s="5"/>
      <c r="CV184" s="5"/>
      <c r="CW184" s="5"/>
      <c r="CX184" s="5"/>
      <c r="CY184" s="5"/>
      <c r="CZ184" s="5"/>
      <c r="DA184" s="5"/>
    </row>
    <row r="185" spans="1:105" x14ac:dyDescent="0.25">
      <c r="A185" s="128"/>
      <c r="B185" s="109"/>
      <c r="C185" s="109"/>
      <c r="D185" s="129"/>
      <c r="E185" s="42"/>
      <c r="P185" s="119"/>
      <c r="S185" s="119"/>
      <c r="T185" s="119"/>
      <c r="U185" s="119"/>
      <c r="V185" s="119"/>
      <c r="W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K185" s="32"/>
      <c r="AM185" s="5"/>
      <c r="AO185" s="5"/>
      <c r="AP185" s="5"/>
      <c r="AQ185" s="5"/>
      <c r="AR185" s="5"/>
      <c r="CS185" s="5"/>
      <c r="CT185" s="5"/>
      <c r="CU185" s="5"/>
      <c r="CV185" s="5"/>
      <c r="CW185" s="5"/>
      <c r="CX185" s="5"/>
      <c r="CY185" s="5"/>
      <c r="CZ185" s="5"/>
      <c r="DA185" s="5"/>
    </row>
    <row r="186" spans="1:105" x14ac:dyDescent="0.25">
      <c r="A186" s="128"/>
      <c r="B186" s="109"/>
      <c r="C186" s="109"/>
      <c r="D186" s="129"/>
      <c r="E186" s="42"/>
      <c r="P186" s="119"/>
      <c r="S186" s="119"/>
      <c r="T186" s="119"/>
      <c r="U186" s="119"/>
      <c r="V186" s="119"/>
      <c r="W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K186" s="32"/>
      <c r="AM186" s="5"/>
      <c r="AO186" s="5"/>
      <c r="AP186" s="5"/>
      <c r="AQ186" s="5"/>
      <c r="AR186" s="5"/>
      <c r="CS186" s="5"/>
      <c r="CT186" s="5"/>
      <c r="CU186" s="5"/>
      <c r="CV186" s="5"/>
      <c r="CW186" s="5"/>
      <c r="CX186" s="5"/>
      <c r="CY186" s="5"/>
      <c r="CZ186" s="5"/>
      <c r="DA186" s="5"/>
    </row>
    <row r="187" spans="1:105" x14ac:dyDescent="0.25">
      <c r="A187" s="128"/>
      <c r="B187" s="109"/>
      <c r="C187" s="109"/>
      <c r="D187" s="129"/>
      <c r="E187" s="42"/>
      <c r="P187" s="119"/>
      <c r="S187" s="119"/>
      <c r="T187" s="119"/>
      <c r="U187" s="119"/>
      <c r="V187" s="119"/>
      <c r="W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K187" s="32"/>
      <c r="AM187" s="5"/>
      <c r="AO187" s="5"/>
      <c r="AP187" s="5"/>
      <c r="AQ187" s="5"/>
      <c r="AR187" s="5"/>
      <c r="CS187" s="5"/>
      <c r="CT187" s="5"/>
      <c r="CU187" s="5"/>
      <c r="CV187" s="5"/>
      <c r="CW187" s="5"/>
      <c r="CX187" s="5"/>
      <c r="CY187" s="5"/>
      <c r="CZ187" s="5"/>
      <c r="DA187" s="5"/>
    </row>
    <row r="188" spans="1:105" x14ac:dyDescent="0.25">
      <c r="A188" s="128"/>
      <c r="B188" s="109"/>
      <c r="C188" s="109"/>
      <c r="D188" s="129"/>
      <c r="E188" s="42"/>
      <c r="P188" s="119"/>
      <c r="S188" s="119"/>
      <c r="T188" s="119"/>
      <c r="U188" s="119"/>
      <c r="V188" s="119"/>
      <c r="W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K188" s="32"/>
      <c r="AM188" s="5"/>
      <c r="AO188" s="5"/>
      <c r="AP188" s="5"/>
      <c r="AQ188" s="5"/>
      <c r="AR188" s="5"/>
      <c r="CS188" s="5"/>
      <c r="CT188" s="5"/>
      <c r="CU188" s="5"/>
      <c r="CV188" s="5"/>
      <c r="CW188" s="5"/>
      <c r="CX188" s="5"/>
      <c r="CY188" s="5"/>
      <c r="CZ188" s="5"/>
      <c r="DA188" s="5"/>
    </row>
    <row r="189" spans="1:105" x14ac:dyDescent="0.25">
      <c r="A189" s="128"/>
      <c r="B189" s="109"/>
      <c r="C189" s="109"/>
      <c r="D189" s="129"/>
      <c r="E189" s="42"/>
      <c r="P189" s="119"/>
      <c r="S189" s="119"/>
      <c r="T189" s="119"/>
      <c r="U189" s="119"/>
      <c r="V189" s="119"/>
      <c r="W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K189" s="32"/>
      <c r="AM189" s="5"/>
      <c r="AO189" s="5"/>
      <c r="AP189" s="5"/>
      <c r="AQ189" s="5"/>
      <c r="AR189" s="5"/>
      <c r="CS189" s="5"/>
      <c r="CT189" s="5"/>
      <c r="CU189" s="5"/>
      <c r="CV189" s="5"/>
      <c r="CW189" s="5"/>
      <c r="CX189" s="5"/>
      <c r="CY189" s="5"/>
      <c r="CZ189" s="5"/>
      <c r="DA189" s="5"/>
    </row>
    <row r="190" spans="1:105" x14ac:dyDescent="0.25">
      <c r="A190" s="128"/>
      <c r="B190" s="109"/>
      <c r="C190" s="109"/>
      <c r="D190" s="129"/>
      <c r="E190" s="42"/>
      <c r="P190" s="119"/>
      <c r="S190" s="119"/>
      <c r="T190" s="119"/>
      <c r="U190" s="119"/>
      <c r="V190" s="119"/>
      <c r="W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K190" s="32"/>
      <c r="AM190" s="5"/>
      <c r="AO190" s="5"/>
      <c r="AP190" s="5"/>
      <c r="AQ190" s="5"/>
      <c r="AR190" s="5"/>
      <c r="CS190" s="5"/>
      <c r="CT190" s="5"/>
      <c r="CU190" s="5"/>
      <c r="CV190" s="5"/>
      <c r="CW190" s="5"/>
      <c r="CX190" s="5"/>
      <c r="CY190" s="5"/>
      <c r="CZ190" s="5"/>
      <c r="DA190" s="5"/>
    </row>
    <row r="191" spans="1:105" x14ac:dyDescent="0.25">
      <c r="A191" s="128"/>
      <c r="B191" s="109"/>
      <c r="C191" s="109"/>
      <c r="D191" s="129"/>
      <c r="E191" s="42"/>
      <c r="P191" s="119"/>
      <c r="S191" s="119"/>
      <c r="T191" s="119"/>
      <c r="U191" s="119"/>
      <c r="V191" s="119"/>
      <c r="W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K191" s="32"/>
      <c r="AM191" s="5"/>
      <c r="AO191" s="5"/>
      <c r="AP191" s="5"/>
      <c r="AQ191" s="5"/>
      <c r="AR191" s="5"/>
      <c r="CS191" s="5"/>
      <c r="CT191" s="5"/>
      <c r="CU191" s="5"/>
      <c r="CV191" s="5"/>
      <c r="CW191" s="5"/>
      <c r="CX191" s="5"/>
      <c r="CY191" s="5"/>
      <c r="CZ191" s="5"/>
      <c r="DA191" s="5"/>
    </row>
    <row r="192" spans="1:105" x14ac:dyDescent="0.25">
      <c r="A192" s="128"/>
      <c r="B192" s="109"/>
      <c r="C192" s="109"/>
      <c r="D192" s="129"/>
      <c r="E192" s="42"/>
      <c r="P192" s="119"/>
      <c r="S192" s="119"/>
      <c r="T192" s="119"/>
      <c r="U192" s="119"/>
      <c r="V192" s="119"/>
      <c r="W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K192" s="32"/>
      <c r="AM192" s="5"/>
      <c r="AO192" s="5"/>
      <c r="AP192" s="5"/>
      <c r="AQ192" s="5"/>
      <c r="AR192" s="5"/>
      <c r="CS192" s="5"/>
      <c r="CT192" s="5"/>
      <c r="CU192" s="5"/>
      <c r="CV192" s="5"/>
      <c r="CW192" s="5"/>
      <c r="CX192" s="5"/>
      <c r="CY192" s="5"/>
      <c r="CZ192" s="5"/>
      <c r="DA192" s="5"/>
    </row>
    <row r="193" spans="1:105" x14ac:dyDescent="0.25">
      <c r="A193" s="128"/>
      <c r="B193" s="109"/>
      <c r="C193" s="109"/>
      <c r="D193" s="129"/>
      <c r="E193" s="42"/>
      <c r="P193" s="119"/>
      <c r="S193" s="119"/>
      <c r="T193" s="119"/>
      <c r="U193" s="119"/>
      <c r="V193" s="119"/>
      <c r="W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K193" s="32"/>
      <c r="AM193" s="5"/>
      <c r="AO193" s="5"/>
      <c r="AP193" s="5"/>
      <c r="AQ193" s="5"/>
      <c r="AR193" s="5"/>
      <c r="CS193" s="5"/>
      <c r="CT193" s="5"/>
      <c r="CU193" s="5"/>
      <c r="CV193" s="5"/>
      <c r="CW193" s="5"/>
      <c r="CX193" s="5"/>
      <c r="CY193" s="5"/>
      <c r="CZ193" s="5"/>
      <c r="DA193" s="5"/>
    </row>
    <row r="194" spans="1:105" x14ac:dyDescent="0.25">
      <c r="A194" s="128"/>
      <c r="B194" s="109"/>
      <c r="C194" s="109"/>
      <c r="D194" s="129"/>
      <c r="E194" s="42"/>
      <c r="P194" s="119"/>
      <c r="S194" s="119"/>
      <c r="T194" s="119"/>
      <c r="U194" s="119"/>
      <c r="V194" s="119"/>
      <c r="W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K194" s="32"/>
      <c r="AM194" s="5"/>
      <c r="AO194" s="5"/>
      <c r="AP194" s="5"/>
      <c r="AQ194" s="5"/>
      <c r="AR194" s="5"/>
      <c r="CS194" s="5"/>
      <c r="CT194" s="5"/>
      <c r="CU194" s="5"/>
      <c r="CV194" s="5"/>
      <c r="CW194" s="5"/>
      <c r="CX194" s="5"/>
      <c r="CY194" s="5"/>
      <c r="CZ194" s="5"/>
      <c r="DA194" s="5"/>
    </row>
    <row r="195" spans="1:105" x14ac:dyDescent="0.25">
      <c r="A195" s="128"/>
      <c r="B195" s="109"/>
      <c r="C195" s="109"/>
      <c r="D195" s="129"/>
      <c r="E195" s="42"/>
      <c r="P195" s="119"/>
      <c r="S195" s="119"/>
      <c r="T195" s="119"/>
      <c r="U195" s="119"/>
      <c r="V195" s="119"/>
      <c r="W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K195" s="32"/>
      <c r="AM195" s="5"/>
      <c r="AO195" s="5"/>
      <c r="AP195" s="5"/>
      <c r="AQ195" s="5"/>
      <c r="AR195" s="5"/>
      <c r="CS195" s="5"/>
      <c r="CT195" s="5"/>
      <c r="CU195" s="5"/>
      <c r="CV195" s="5"/>
      <c r="CW195" s="5"/>
      <c r="CX195" s="5"/>
      <c r="CY195" s="5"/>
      <c r="CZ195" s="5"/>
      <c r="DA195" s="5"/>
    </row>
    <row r="196" spans="1:105" x14ac:dyDescent="0.25">
      <c r="A196" s="128"/>
      <c r="B196" s="109"/>
      <c r="C196" s="109"/>
      <c r="D196" s="129"/>
      <c r="E196" s="42"/>
      <c r="P196" s="119"/>
      <c r="S196" s="119"/>
      <c r="T196" s="119"/>
      <c r="U196" s="119"/>
      <c r="V196" s="119"/>
      <c r="W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K196" s="32"/>
      <c r="AM196" s="5"/>
      <c r="AO196" s="5"/>
      <c r="AP196" s="5"/>
      <c r="AQ196" s="5"/>
      <c r="AR196" s="5"/>
      <c r="CS196" s="5"/>
      <c r="CT196" s="5"/>
      <c r="CU196" s="5"/>
      <c r="CV196" s="5"/>
      <c r="CW196" s="5"/>
      <c r="CX196" s="5"/>
      <c r="CY196" s="5"/>
      <c r="CZ196" s="5"/>
      <c r="DA196" s="5"/>
    </row>
    <row r="197" spans="1:105" x14ac:dyDescent="0.25">
      <c r="A197" s="128"/>
      <c r="B197" s="109"/>
      <c r="C197" s="109"/>
      <c r="D197" s="129"/>
      <c r="E197" s="42"/>
      <c r="P197" s="119"/>
      <c r="S197" s="119"/>
      <c r="T197" s="119"/>
      <c r="U197" s="119"/>
      <c r="V197" s="119"/>
      <c r="W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K197" s="32"/>
      <c r="AM197" s="5"/>
      <c r="AO197" s="5"/>
      <c r="AP197" s="5"/>
      <c r="AQ197" s="5"/>
      <c r="AR197" s="5"/>
      <c r="CS197" s="5"/>
      <c r="CT197" s="5"/>
      <c r="CU197" s="5"/>
      <c r="CV197" s="5"/>
      <c r="CW197" s="5"/>
      <c r="CX197" s="5"/>
      <c r="CY197" s="5"/>
      <c r="CZ197" s="5"/>
      <c r="DA197" s="5"/>
    </row>
    <row r="198" spans="1:105" x14ac:dyDescent="0.25">
      <c r="A198" s="128"/>
      <c r="B198" s="109"/>
      <c r="C198" s="109"/>
      <c r="D198" s="129"/>
      <c r="E198" s="42"/>
      <c r="P198" s="119"/>
      <c r="S198" s="119"/>
      <c r="T198" s="119"/>
      <c r="U198" s="119"/>
      <c r="V198" s="119"/>
      <c r="W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K198" s="32"/>
      <c r="AM198" s="5"/>
      <c r="AO198" s="5"/>
      <c r="AP198" s="5"/>
      <c r="AQ198" s="5"/>
      <c r="AR198" s="5"/>
      <c r="CS198" s="5"/>
      <c r="CT198" s="5"/>
      <c r="CU198" s="5"/>
      <c r="CV198" s="5"/>
      <c r="CW198" s="5"/>
      <c r="CX198" s="5"/>
      <c r="CY198" s="5"/>
      <c r="CZ198" s="5"/>
      <c r="DA198" s="5"/>
    </row>
    <row r="199" spans="1:105" x14ac:dyDescent="0.25">
      <c r="A199" s="128"/>
      <c r="B199" s="109"/>
      <c r="C199" s="109"/>
      <c r="D199" s="129"/>
      <c r="E199" s="42"/>
      <c r="P199" s="119"/>
      <c r="S199" s="119"/>
      <c r="T199" s="119"/>
      <c r="U199" s="119"/>
      <c r="V199" s="119"/>
      <c r="W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K199" s="32"/>
      <c r="AM199" s="5"/>
      <c r="AO199" s="5"/>
      <c r="AP199" s="5"/>
      <c r="AQ199" s="5"/>
      <c r="AR199" s="5"/>
      <c r="CS199" s="5"/>
      <c r="CT199" s="5"/>
      <c r="CU199" s="5"/>
      <c r="CV199" s="5"/>
      <c r="CW199" s="5"/>
      <c r="CX199" s="5"/>
      <c r="CY199" s="5"/>
      <c r="CZ199" s="5"/>
      <c r="DA199" s="5"/>
    </row>
    <row r="200" spans="1:105" x14ac:dyDescent="0.25">
      <c r="A200" s="128"/>
      <c r="B200" s="109"/>
      <c r="C200" s="109"/>
      <c r="D200" s="129"/>
      <c r="E200" s="42"/>
      <c r="P200" s="119"/>
      <c r="S200" s="119"/>
      <c r="T200" s="119"/>
      <c r="U200" s="119"/>
      <c r="V200" s="119"/>
      <c r="W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K200" s="32"/>
      <c r="AM200" s="5"/>
      <c r="AO200" s="5"/>
      <c r="AP200" s="5"/>
      <c r="AQ200" s="5"/>
      <c r="AR200" s="5"/>
      <c r="CS200" s="5"/>
      <c r="CT200" s="5"/>
      <c r="CU200" s="5"/>
      <c r="CV200" s="5"/>
      <c r="CW200" s="5"/>
      <c r="CX200" s="5"/>
      <c r="CY200" s="5"/>
      <c r="CZ200" s="5"/>
      <c r="DA200" s="5"/>
    </row>
    <row r="201" spans="1:105" x14ac:dyDescent="0.25">
      <c r="A201" s="128"/>
      <c r="B201" s="109"/>
      <c r="C201" s="109"/>
      <c r="D201" s="129"/>
      <c r="E201" s="42"/>
      <c r="P201" s="119"/>
      <c r="S201" s="119"/>
      <c r="T201" s="119"/>
      <c r="U201" s="119"/>
      <c r="V201" s="119"/>
      <c r="W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K201" s="32"/>
      <c r="AM201" s="5"/>
      <c r="AO201" s="5"/>
      <c r="AP201" s="5"/>
      <c r="AQ201" s="5"/>
      <c r="AR201" s="5"/>
      <c r="CS201" s="5"/>
      <c r="CT201" s="5"/>
      <c r="CU201" s="5"/>
      <c r="CV201" s="5"/>
      <c r="CW201" s="5"/>
      <c r="CX201" s="5"/>
      <c r="CY201" s="5"/>
      <c r="CZ201" s="5"/>
      <c r="DA201" s="5"/>
    </row>
    <row r="202" spans="1:105" x14ac:dyDescent="0.25">
      <c r="A202" s="128"/>
      <c r="B202" s="109"/>
      <c r="C202" s="109"/>
      <c r="D202" s="129"/>
      <c r="E202" s="42"/>
      <c r="P202" s="119"/>
      <c r="S202" s="119"/>
      <c r="T202" s="119"/>
      <c r="U202" s="119"/>
      <c r="V202" s="119"/>
      <c r="W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K202" s="32"/>
      <c r="AM202" s="5"/>
      <c r="AO202" s="5"/>
      <c r="AP202" s="5"/>
      <c r="AQ202" s="5"/>
      <c r="AR202" s="5"/>
      <c r="CS202" s="5"/>
      <c r="CT202" s="5"/>
      <c r="CU202" s="5"/>
      <c r="CV202" s="5"/>
      <c r="CW202" s="5"/>
      <c r="CX202" s="5"/>
      <c r="CY202" s="5"/>
      <c r="CZ202" s="5"/>
      <c r="DA202" s="5"/>
    </row>
    <row r="203" spans="1:105" x14ac:dyDescent="0.25">
      <c r="A203" s="128"/>
      <c r="B203" s="109"/>
      <c r="C203" s="109"/>
      <c r="D203" s="129"/>
      <c r="E203" s="42"/>
      <c r="P203" s="119"/>
      <c r="S203" s="119"/>
      <c r="T203" s="119"/>
      <c r="U203" s="119"/>
      <c r="V203" s="119"/>
      <c r="W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K203" s="32"/>
      <c r="AM203" s="5"/>
      <c r="AO203" s="5"/>
      <c r="AP203" s="5"/>
      <c r="AQ203" s="5"/>
      <c r="AR203" s="5"/>
      <c r="CS203" s="5"/>
      <c r="CT203" s="5"/>
      <c r="CU203" s="5"/>
      <c r="CV203" s="5"/>
      <c r="CW203" s="5"/>
      <c r="CX203" s="5"/>
      <c r="CY203" s="5"/>
      <c r="CZ203" s="5"/>
      <c r="DA203" s="5"/>
    </row>
    <row r="204" spans="1:105" x14ac:dyDescent="0.25">
      <c r="A204" s="128"/>
      <c r="B204" s="109"/>
      <c r="C204" s="109"/>
      <c r="D204" s="129"/>
      <c r="E204" s="42"/>
      <c r="P204" s="119"/>
      <c r="S204" s="119"/>
      <c r="T204" s="119"/>
      <c r="U204" s="119"/>
      <c r="V204" s="119"/>
      <c r="W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K204" s="32"/>
      <c r="AM204" s="5"/>
      <c r="AO204" s="5"/>
      <c r="AP204" s="5"/>
      <c r="AQ204" s="5"/>
      <c r="AR204" s="5"/>
      <c r="CS204" s="5"/>
      <c r="CT204" s="5"/>
      <c r="CU204" s="5"/>
      <c r="CV204" s="5"/>
      <c r="CW204" s="5"/>
      <c r="CX204" s="5"/>
      <c r="CY204" s="5"/>
      <c r="CZ204" s="5"/>
      <c r="DA204" s="5"/>
    </row>
    <row r="205" spans="1:105" x14ac:dyDescent="0.25">
      <c r="A205" s="128"/>
      <c r="B205" s="109"/>
      <c r="C205" s="109"/>
      <c r="D205" s="129"/>
      <c r="E205" s="42"/>
      <c r="P205" s="119"/>
      <c r="S205" s="119"/>
      <c r="T205" s="119"/>
      <c r="U205" s="119"/>
      <c r="V205" s="119"/>
      <c r="W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K205" s="32"/>
      <c r="AM205" s="5"/>
      <c r="AO205" s="5"/>
      <c r="AP205" s="5"/>
      <c r="AQ205" s="5"/>
      <c r="AR205" s="5"/>
      <c r="CS205" s="5"/>
      <c r="CT205" s="5"/>
      <c r="CU205" s="5"/>
      <c r="CV205" s="5"/>
      <c r="CW205" s="5"/>
      <c r="CX205" s="5"/>
      <c r="CY205" s="5"/>
      <c r="CZ205" s="5"/>
      <c r="DA205" s="5"/>
    </row>
    <row r="206" spans="1:105" x14ac:dyDescent="0.25">
      <c r="A206" s="128"/>
      <c r="B206" s="109"/>
      <c r="C206" s="109"/>
      <c r="D206" s="129"/>
      <c r="E206" s="42"/>
      <c r="P206" s="119"/>
      <c r="S206" s="119"/>
      <c r="T206" s="119"/>
      <c r="U206" s="119"/>
      <c r="V206" s="119"/>
      <c r="W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K206" s="32"/>
      <c r="AM206" s="5"/>
      <c r="AO206" s="5"/>
      <c r="AP206" s="5"/>
      <c r="AQ206" s="5"/>
      <c r="AR206" s="5"/>
      <c r="CS206" s="5"/>
      <c r="CT206" s="5"/>
      <c r="CU206" s="5"/>
      <c r="CV206" s="5"/>
      <c r="CW206" s="5"/>
      <c r="CX206" s="5"/>
      <c r="CY206" s="5"/>
      <c r="CZ206" s="5"/>
      <c r="DA206" s="5"/>
    </row>
    <row r="207" spans="1:105" x14ac:dyDescent="0.25">
      <c r="A207" s="128"/>
      <c r="B207" s="109"/>
      <c r="C207" s="109"/>
      <c r="D207" s="129"/>
      <c r="E207" s="42"/>
      <c r="P207" s="119"/>
      <c r="S207" s="119"/>
      <c r="T207" s="119"/>
      <c r="U207" s="119"/>
      <c r="V207" s="119"/>
      <c r="W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K207" s="32"/>
      <c r="AM207" s="5"/>
      <c r="AO207" s="5"/>
      <c r="AP207" s="5"/>
      <c r="AQ207" s="5"/>
      <c r="AR207" s="5"/>
      <c r="CS207" s="5"/>
      <c r="CT207" s="5"/>
      <c r="CU207" s="5"/>
      <c r="CV207" s="5"/>
      <c r="CW207" s="5"/>
      <c r="CX207" s="5"/>
      <c r="CY207" s="5"/>
      <c r="CZ207" s="5"/>
      <c r="DA207" s="5"/>
    </row>
    <row r="208" spans="1:105" x14ac:dyDescent="0.25">
      <c r="A208" s="128"/>
      <c r="B208" s="109"/>
      <c r="C208" s="109"/>
      <c r="D208" s="129"/>
      <c r="E208" s="42"/>
      <c r="P208" s="119"/>
      <c r="S208" s="119"/>
      <c r="T208" s="119"/>
      <c r="U208" s="119"/>
      <c r="V208" s="119"/>
      <c r="W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K208" s="32"/>
      <c r="AM208" s="5"/>
      <c r="AO208" s="5"/>
      <c r="AP208" s="5"/>
      <c r="AQ208" s="5"/>
      <c r="AR208" s="5"/>
      <c r="CS208" s="5"/>
      <c r="CT208" s="5"/>
      <c r="CU208" s="5"/>
      <c r="CV208" s="5"/>
      <c r="CW208" s="5"/>
      <c r="CX208" s="5"/>
      <c r="CY208" s="5"/>
      <c r="CZ208" s="5"/>
      <c r="DA208" s="5"/>
    </row>
    <row r="209" spans="1:105" x14ac:dyDescent="0.25">
      <c r="A209" s="128"/>
      <c r="B209" s="109"/>
      <c r="C209" s="109"/>
      <c r="D209" s="129"/>
      <c r="E209" s="42"/>
      <c r="P209" s="119"/>
      <c r="S209" s="119"/>
      <c r="T209" s="119"/>
      <c r="U209" s="119"/>
      <c r="V209" s="119"/>
      <c r="W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K209" s="32"/>
      <c r="AM209" s="5"/>
      <c r="AO209" s="5"/>
      <c r="AP209" s="5"/>
      <c r="AQ209" s="5"/>
      <c r="AR209" s="5"/>
      <c r="CS209" s="5"/>
      <c r="CT209" s="5"/>
      <c r="CU209" s="5"/>
      <c r="CV209" s="5"/>
      <c r="CW209" s="5"/>
      <c r="CX209" s="5"/>
      <c r="CY209" s="5"/>
      <c r="CZ209" s="5"/>
      <c r="DA209" s="5"/>
    </row>
    <row r="210" spans="1:105" x14ac:dyDescent="0.25">
      <c r="A210" s="128"/>
      <c r="B210" s="109"/>
      <c r="C210" s="109"/>
      <c r="D210" s="129"/>
      <c r="E210" s="42"/>
      <c r="P210" s="119"/>
      <c r="S210" s="119"/>
      <c r="T210" s="119"/>
      <c r="U210" s="119"/>
      <c r="V210" s="119"/>
      <c r="W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K210" s="32"/>
      <c r="AM210" s="5"/>
      <c r="AO210" s="5"/>
      <c r="AP210" s="5"/>
      <c r="AQ210" s="5"/>
      <c r="AR210" s="5"/>
      <c r="CS210" s="5"/>
      <c r="CT210" s="5"/>
      <c r="CU210" s="5"/>
      <c r="CV210" s="5"/>
      <c r="CW210" s="5"/>
      <c r="CX210" s="5"/>
      <c r="CY210" s="5"/>
      <c r="CZ210" s="5"/>
      <c r="DA210" s="5"/>
    </row>
    <row r="211" spans="1:105" x14ac:dyDescent="0.25">
      <c r="A211" s="128"/>
      <c r="B211" s="109"/>
      <c r="C211" s="109"/>
      <c r="D211" s="129"/>
      <c r="E211" s="42"/>
      <c r="P211" s="119"/>
      <c r="S211" s="119"/>
      <c r="T211" s="119"/>
      <c r="U211" s="119"/>
      <c r="V211" s="119"/>
      <c r="W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K211" s="32"/>
      <c r="AM211" s="5"/>
      <c r="AO211" s="5"/>
      <c r="AP211" s="5"/>
      <c r="AQ211" s="5"/>
      <c r="AR211" s="5"/>
      <c r="CS211" s="5"/>
      <c r="CT211" s="5"/>
      <c r="CU211" s="5"/>
      <c r="CV211" s="5"/>
      <c r="CW211" s="5"/>
      <c r="CX211" s="5"/>
      <c r="CY211" s="5"/>
      <c r="CZ211" s="5"/>
      <c r="DA211" s="5"/>
    </row>
    <row r="212" spans="1:105" x14ac:dyDescent="0.25">
      <c r="A212" s="128"/>
      <c r="B212" s="109"/>
      <c r="C212" s="109"/>
      <c r="D212" s="129"/>
      <c r="E212" s="42"/>
      <c r="P212" s="119"/>
      <c r="S212" s="119"/>
      <c r="T212" s="119"/>
      <c r="U212" s="119"/>
      <c r="V212" s="119"/>
      <c r="W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K212" s="32"/>
      <c r="AM212" s="5"/>
      <c r="AO212" s="5"/>
      <c r="AP212" s="5"/>
      <c r="AQ212" s="5"/>
      <c r="AR212" s="5"/>
      <c r="CS212" s="5"/>
      <c r="CT212" s="5"/>
      <c r="CU212" s="5"/>
      <c r="CV212" s="5"/>
      <c r="CW212" s="5"/>
      <c r="CX212" s="5"/>
      <c r="CY212" s="5"/>
      <c r="CZ212" s="5"/>
      <c r="DA212" s="5"/>
    </row>
    <row r="213" spans="1:105" x14ac:dyDescent="0.25">
      <c r="A213" s="128"/>
      <c r="B213" s="109"/>
      <c r="C213" s="109"/>
      <c r="D213" s="129"/>
      <c r="E213" s="42"/>
      <c r="P213" s="119"/>
      <c r="S213" s="119"/>
      <c r="T213" s="119"/>
      <c r="U213" s="119"/>
      <c r="V213" s="119"/>
      <c r="W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K213" s="32"/>
      <c r="AM213" s="5"/>
      <c r="AO213" s="5"/>
      <c r="AP213" s="5"/>
      <c r="AQ213" s="5"/>
      <c r="AR213" s="5"/>
      <c r="CS213" s="5"/>
      <c r="CT213" s="5"/>
      <c r="CU213" s="5"/>
      <c r="CV213" s="5"/>
      <c r="CW213" s="5"/>
      <c r="CX213" s="5"/>
      <c r="CY213" s="5"/>
      <c r="CZ213" s="5"/>
      <c r="DA213" s="5"/>
    </row>
    <row r="214" spans="1:105" x14ac:dyDescent="0.25">
      <c r="A214" s="128"/>
      <c r="B214" s="109"/>
      <c r="C214" s="109"/>
      <c r="D214" s="129"/>
      <c r="E214" s="42"/>
      <c r="P214" s="119"/>
      <c r="S214" s="119"/>
      <c r="T214" s="119"/>
      <c r="U214" s="119"/>
      <c r="V214" s="119"/>
      <c r="W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K214" s="32"/>
      <c r="AM214" s="5"/>
      <c r="AO214" s="5"/>
      <c r="AP214" s="5"/>
      <c r="AQ214" s="5"/>
      <c r="AR214" s="5"/>
      <c r="CS214" s="5"/>
      <c r="CT214" s="5"/>
      <c r="CU214" s="5"/>
      <c r="CV214" s="5"/>
      <c r="CW214" s="5"/>
      <c r="CX214" s="5"/>
      <c r="CY214" s="5"/>
      <c r="CZ214" s="5"/>
      <c r="DA214" s="5"/>
    </row>
    <row r="215" spans="1:105" x14ac:dyDescent="0.25">
      <c r="A215" s="128"/>
      <c r="B215" s="109"/>
      <c r="C215" s="109"/>
      <c r="D215" s="129"/>
      <c r="E215" s="42"/>
      <c r="P215" s="119"/>
      <c r="S215" s="119"/>
      <c r="T215" s="119"/>
      <c r="U215" s="119"/>
      <c r="V215" s="119"/>
      <c r="W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K215" s="32"/>
      <c r="AM215" s="5"/>
      <c r="AO215" s="5"/>
      <c r="AP215" s="5"/>
      <c r="AQ215" s="5"/>
      <c r="AR215" s="5"/>
      <c r="CS215" s="5"/>
      <c r="CT215" s="5"/>
      <c r="CU215" s="5"/>
      <c r="CV215" s="5"/>
      <c r="CW215" s="5"/>
      <c r="CX215" s="5"/>
      <c r="CY215" s="5"/>
      <c r="CZ215" s="5"/>
      <c r="DA215" s="5"/>
    </row>
    <row r="216" spans="1:105" x14ac:dyDescent="0.25">
      <c r="A216" s="128"/>
      <c r="B216" s="109"/>
      <c r="C216" s="109"/>
      <c r="D216" s="129"/>
      <c r="E216" s="42"/>
      <c r="P216" s="119"/>
      <c r="S216" s="119"/>
      <c r="T216" s="119"/>
      <c r="U216" s="119"/>
      <c r="V216" s="119"/>
      <c r="W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K216" s="32"/>
      <c r="AM216" s="5"/>
      <c r="AO216" s="5"/>
      <c r="AP216" s="5"/>
      <c r="AQ216" s="5"/>
      <c r="AR216" s="5"/>
      <c r="CS216" s="5"/>
      <c r="CT216" s="5"/>
      <c r="CU216" s="5"/>
      <c r="CV216" s="5"/>
      <c r="CW216" s="5"/>
      <c r="CX216" s="5"/>
      <c r="CY216" s="5"/>
      <c r="CZ216" s="5"/>
      <c r="DA216" s="5"/>
    </row>
    <row r="217" spans="1:105" x14ac:dyDescent="0.25">
      <c r="A217" s="128"/>
      <c r="B217" s="109"/>
      <c r="C217" s="109"/>
      <c r="D217" s="129"/>
      <c r="E217" s="42"/>
      <c r="P217" s="119"/>
      <c r="S217" s="119"/>
      <c r="T217" s="119"/>
      <c r="U217" s="119"/>
      <c r="V217" s="119"/>
      <c r="W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K217" s="32"/>
      <c r="AM217" s="5"/>
      <c r="AO217" s="5"/>
      <c r="AP217" s="5"/>
      <c r="AQ217" s="5"/>
      <c r="AR217" s="5"/>
      <c r="CS217" s="5"/>
      <c r="CT217" s="5"/>
      <c r="CU217" s="5"/>
      <c r="CV217" s="5"/>
      <c r="CW217" s="5"/>
      <c r="CX217" s="5"/>
      <c r="CY217" s="5"/>
      <c r="CZ217" s="5"/>
      <c r="DA217" s="5"/>
    </row>
    <row r="218" spans="1:105" x14ac:dyDescent="0.25">
      <c r="A218" s="128"/>
      <c r="B218" s="109"/>
      <c r="C218" s="109"/>
      <c r="D218" s="129"/>
      <c r="E218" s="42"/>
      <c r="P218" s="119"/>
      <c r="S218" s="119"/>
      <c r="T218" s="119"/>
      <c r="U218" s="119"/>
      <c r="V218" s="119"/>
      <c r="W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K218" s="32"/>
      <c r="AM218" s="5"/>
      <c r="AO218" s="5"/>
      <c r="AP218" s="5"/>
      <c r="AQ218" s="5"/>
      <c r="AR218" s="5"/>
      <c r="CS218" s="5"/>
      <c r="CT218" s="5"/>
      <c r="CU218" s="5"/>
      <c r="CV218" s="5"/>
      <c r="CW218" s="5"/>
      <c r="CX218" s="5"/>
      <c r="CY218" s="5"/>
      <c r="CZ218" s="5"/>
      <c r="DA218" s="5"/>
    </row>
    <row r="219" spans="1:105" x14ac:dyDescent="0.25">
      <c r="A219" s="128"/>
      <c r="B219" s="109"/>
      <c r="C219" s="109"/>
      <c r="D219" s="129"/>
      <c r="E219" s="42"/>
      <c r="P219" s="119"/>
      <c r="S219" s="119"/>
      <c r="T219" s="119"/>
      <c r="U219" s="119"/>
      <c r="V219" s="119"/>
      <c r="W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K219" s="32"/>
      <c r="AM219" s="5"/>
      <c r="AO219" s="5"/>
      <c r="AP219" s="5"/>
      <c r="AQ219" s="5"/>
      <c r="AR219" s="5"/>
      <c r="CS219" s="5"/>
      <c r="CT219" s="5"/>
      <c r="CU219" s="5"/>
      <c r="CV219" s="5"/>
      <c r="CW219" s="5"/>
      <c r="CX219" s="5"/>
      <c r="CY219" s="5"/>
      <c r="CZ219" s="5"/>
      <c r="DA219" s="5"/>
    </row>
    <row r="220" spans="1:105" x14ac:dyDescent="0.25">
      <c r="A220" s="128"/>
      <c r="B220" s="109"/>
      <c r="C220" s="109"/>
      <c r="D220" s="129"/>
      <c r="E220" s="42"/>
      <c r="P220" s="119"/>
      <c r="S220" s="119"/>
      <c r="T220" s="119"/>
      <c r="U220" s="119"/>
      <c r="V220" s="119"/>
      <c r="W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K220" s="32"/>
      <c r="AM220" s="5"/>
      <c r="AO220" s="5"/>
      <c r="AP220" s="5"/>
      <c r="AQ220" s="5"/>
      <c r="AR220" s="5"/>
      <c r="CS220" s="5"/>
      <c r="CT220" s="5"/>
      <c r="CU220" s="5"/>
      <c r="CV220" s="5"/>
      <c r="CW220" s="5"/>
      <c r="CX220" s="5"/>
      <c r="CY220" s="5"/>
      <c r="CZ220" s="5"/>
      <c r="DA220" s="5"/>
    </row>
    <row r="221" spans="1:105" x14ac:dyDescent="0.25">
      <c r="A221" s="128"/>
      <c r="B221" s="109"/>
      <c r="C221" s="109"/>
      <c r="D221" s="129"/>
      <c r="E221" s="42"/>
      <c r="P221" s="119"/>
      <c r="S221" s="119"/>
      <c r="T221" s="119"/>
      <c r="U221" s="119"/>
      <c r="V221" s="119"/>
      <c r="W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K221" s="32"/>
      <c r="AM221" s="5"/>
      <c r="AO221" s="5"/>
      <c r="AP221" s="5"/>
      <c r="AQ221" s="5"/>
      <c r="AR221" s="5"/>
      <c r="CS221" s="5"/>
      <c r="CT221" s="5"/>
      <c r="CU221" s="5"/>
      <c r="CV221" s="5"/>
      <c r="CW221" s="5"/>
      <c r="CX221" s="5"/>
      <c r="CY221" s="5"/>
      <c r="CZ221" s="5"/>
      <c r="DA221" s="5"/>
    </row>
    <row r="222" spans="1:105" x14ac:dyDescent="0.25">
      <c r="A222" s="128"/>
      <c r="B222" s="109"/>
      <c r="C222" s="109"/>
      <c r="D222" s="129"/>
      <c r="E222" s="42"/>
      <c r="P222" s="119"/>
      <c r="S222" s="119"/>
      <c r="T222" s="119"/>
      <c r="U222" s="119"/>
      <c r="V222" s="119"/>
      <c r="W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K222" s="32"/>
      <c r="AM222" s="5"/>
      <c r="AO222" s="5"/>
      <c r="AP222" s="5"/>
      <c r="AQ222" s="5"/>
      <c r="AR222" s="5"/>
      <c r="CS222" s="5"/>
      <c r="CT222" s="5"/>
      <c r="CU222" s="5"/>
      <c r="CV222" s="5"/>
      <c r="CW222" s="5"/>
      <c r="CX222" s="5"/>
      <c r="CY222" s="5"/>
      <c r="CZ222" s="5"/>
      <c r="DA222" s="5"/>
    </row>
    <row r="223" spans="1:105" x14ac:dyDescent="0.25">
      <c r="A223" s="128"/>
      <c r="B223" s="109"/>
      <c r="C223" s="109"/>
      <c r="D223" s="129"/>
      <c r="E223" s="42"/>
      <c r="P223" s="119"/>
      <c r="S223" s="119"/>
      <c r="T223" s="119"/>
      <c r="U223" s="119"/>
      <c r="V223" s="119"/>
      <c r="W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K223" s="32"/>
      <c r="AM223" s="5"/>
      <c r="AO223" s="5"/>
      <c r="AP223" s="5"/>
      <c r="AQ223" s="5"/>
      <c r="AR223" s="5"/>
      <c r="CS223" s="5"/>
      <c r="CT223" s="5"/>
      <c r="CU223" s="5"/>
      <c r="CV223" s="5"/>
      <c r="CW223" s="5"/>
      <c r="CX223" s="5"/>
      <c r="CY223" s="5"/>
      <c r="CZ223" s="5"/>
      <c r="DA223" s="5"/>
    </row>
    <row r="224" spans="1:105" x14ac:dyDescent="0.25">
      <c r="A224" s="128"/>
      <c r="B224" s="109"/>
      <c r="C224" s="109"/>
      <c r="D224" s="129"/>
      <c r="E224" s="42"/>
      <c r="P224" s="119"/>
      <c r="S224" s="119"/>
      <c r="T224" s="119"/>
      <c r="U224" s="119"/>
      <c r="V224" s="119"/>
      <c r="W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K224" s="32"/>
      <c r="AM224" s="5"/>
      <c r="AO224" s="5"/>
      <c r="AP224" s="5"/>
      <c r="AQ224" s="5"/>
      <c r="AR224" s="5"/>
      <c r="CS224" s="5"/>
      <c r="CT224" s="5"/>
      <c r="CU224" s="5"/>
      <c r="CV224" s="5"/>
      <c r="CW224" s="5"/>
      <c r="CX224" s="5"/>
      <c r="CY224" s="5"/>
      <c r="CZ224" s="5"/>
      <c r="DA224" s="5"/>
    </row>
    <row r="225" spans="1:105" x14ac:dyDescent="0.25">
      <c r="A225" s="128"/>
      <c r="B225" s="109"/>
      <c r="C225" s="109"/>
      <c r="D225" s="129"/>
      <c r="E225" s="42"/>
      <c r="P225" s="119"/>
      <c r="S225" s="119"/>
      <c r="T225" s="119"/>
      <c r="U225" s="119"/>
      <c r="V225" s="119"/>
      <c r="W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K225" s="32"/>
      <c r="AM225" s="5"/>
      <c r="AO225" s="5"/>
      <c r="AP225" s="5"/>
      <c r="AQ225" s="5"/>
      <c r="AR225" s="5"/>
      <c r="CS225" s="5"/>
      <c r="CT225" s="5"/>
      <c r="CU225" s="5"/>
      <c r="CV225" s="5"/>
      <c r="CW225" s="5"/>
      <c r="CX225" s="5"/>
      <c r="CY225" s="5"/>
      <c r="CZ225" s="5"/>
      <c r="DA225" s="5"/>
    </row>
    <row r="226" spans="1:105" x14ac:dyDescent="0.25">
      <c r="A226" s="128"/>
      <c r="B226" s="109"/>
      <c r="C226" s="109"/>
      <c r="D226" s="129"/>
      <c r="E226" s="42"/>
      <c r="P226" s="119"/>
      <c r="S226" s="119"/>
      <c r="T226" s="119"/>
      <c r="U226" s="119"/>
      <c r="V226" s="119"/>
      <c r="W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K226" s="32"/>
      <c r="AM226" s="5"/>
      <c r="AO226" s="5"/>
      <c r="AP226" s="5"/>
      <c r="AQ226" s="5"/>
      <c r="AR226" s="5"/>
      <c r="CS226" s="5"/>
      <c r="CT226" s="5"/>
      <c r="CU226" s="5"/>
      <c r="CV226" s="5"/>
      <c r="CW226" s="5"/>
      <c r="CX226" s="5"/>
      <c r="CY226" s="5"/>
      <c r="CZ226" s="5"/>
      <c r="DA226" s="5"/>
    </row>
    <row r="227" spans="1:105" x14ac:dyDescent="0.25">
      <c r="A227" s="128"/>
      <c r="B227" s="109"/>
      <c r="C227" s="109"/>
      <c r="D227" s="129"/>
      <c r="E227" s="42"/>
      <c r="P227" s="119"/>
      <c r="S227" s="119"/>
      <c r="T227" s="119"/>
      <c r="U227" s="119"/>
      <c r="V227" s="119"/>
      <c r="W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K227" s="32"/>
      <c r="AM227" s="5"/>
      <c r="AO227" s="5"/>
      <c r="AP227" s="5"/>
      <c r="AQ227" s="5"/>
      <c r="AR227" s="5"/>
      <c r="CS227" s="5"/>
      <c r="CT227" s="5"/>
      <c r="CU227" s="5"/>
      <c r="CV227" s="5"/>
      <c r="CW227" s="5"/>
      <c r="CX227" s="5"/>
      <c r="CY227" s="5"/>
      <c r="CZ227" s="5"/>
      <c r="DA227" s="5"/>
    </row>
    <row r="228" spans="1:105" x14ac:dyDescent="0.25">
      <c r="A228" s="128"/>
      <c r="B228" s="109"/>
      <c r="C228" s="109"/>
      <c r="D228" s="129"/>
      <c r="E228" s="42"/>
      <c r="P228" s="119"/>
      <c r="S228" s="119"/>
      <c r="T228" s="119"/>
      <c r="U228" s="119"/>
      <c r="V228" s="119"/>
      <c r="W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K228" s="32"/>
      <c r="AM228" s="5"/>
      <c r="AO228" s="5"/>
      <c r="AP228" s="5"/>
      <c r="AQ228" s="5"/>
      <c r="AR228" s="5"/>
      <c r="CS228" s="5"/>
      <c r="CT228" s="5"/>
      <c r="CU228" s="5"/>
      <c r="CV228" s="5"/>
      <c r="CW228" s="5"/>
      <c r="CX228" s="5"/>
      <c r="CY228" s="5"/>
      <c r="CZ228" s="5"/>
      <c r="DA228" s="5"/>
    </row>
    <row r="229" spans="1:105" x14ac:dyDescent="0.25">
      <c r="A229" s="128"/>
      <c r="B229" s="109"/>
      <c r="C229" s="109"/>
      <c r="D229" s="129"/>
      <c r="E229" s="42"/>
      <c r="P229" s="119"/>
      <c r="S229" s="119"/>
      <c r="T229" s="119"/>
      <c r="U229" s="119"/>
      <c r="V229" s="119"/>
      <c r="W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K229" s="32"/>
      <c r="AM229" s="5"/>
      <c r="AO229" s="5"/>
      <c r="AP229" s="5"/>
      <c r="AQ229" s="5"/>
      <c r="AR229" s="5"/>
      <c r="CS229" s="5"/>
      <c r="CT229" s="5"/>
      <c r="CU229" s="5"/>
      <c r="CV229" s="5"/>
      <c r="CW229" s="5"/>
      <c r="CX229" s="5"/>
      <c r="CY229" s="5"/>
      <c r="CZ229" s="5"/>
      <c r="DA229" s="5"/>
    </row>
    <row r="230" spans="1:105" x14ac:dyDescent="0.25">
      <c r="A230" s="128"/>
      <c r="B230" s="109"/>
      <c r="C230" s="109"/>
      <c r="D230" s="129"/>
      <c r="E230" s="42"/>
      <c r="P230" s="119"/>
      <c r="S230" s="119"/>
      <c r="T230" s="119"/>
      <c r="U230" s="119"/>
      <c r="V230" s="119"/>
      <c r="W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K230" s="32"/>
      <c r="AM230" s="5"/>
      <c r="AO230" s="5"/>
      <c r="AP230" s="5"/>
      <c r="AQ230" s="5"/>
      <c r="AR230" s="5"/>
      <c r="CS230" s="5"/>
      <c r="CT230" s="5"/>
      <c r="CU230" s="5"/>
      <c r="CV230" s="5"/>
      <c r="CW230" s="5"/>
      <c r="CX230" s="5"/>
      <c r="CY230" s="5"/>
      <c r="CZ230" s="5"/>
      <c r="DA230" s="5"/>
    </row>
    <row r="231" spans="1:105" x14ac:dyDescent="0.25">
      <c r="A231" s="128"/>
      <c r="B231" s="109"/>
      <c r="C231" s="109"/>
      <c r="D231" s="129"/>
      <c r="E231" s="42"/>
      <c r="P231" s="119"/>
      <c r="S231" s="119"/>
      <c r="T231" s="119"/>
      <c r="U231" s="119"/>
      <c r="V231" s="119"/>
      <c r="W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K231" s="32"/>
      <c r="AM231" s="5"/>
      <c r="AO231" s="5"/>
      <c r="AP231" s="5"/>
      <c r="AQ231" s="5"/>
      <c r="AR231" s="5"/>
      <c r="CS231" s="5"/>
      <c r="CT231" s="5"/>
      <c r="CU231" s="5"/>
      <c r="CV231" s="5"/>
      <c r="CW231" s="5"/>
      <c r="CX231" s="5"/>
      <c r="CY231" s="5"/>
      <c r="CZ231" s="5"/>
      <c r="DA231" s="5"/>
    </row>
    <row r="232" spans="1:105" x14ac:dyDescent="0.25">
      <c r="A232" s="128"/>
      <c r="B232" s="109"/>
      <c r="C232" s="109"/>
      <c r="D232" s="129"/>
      <c r="E232" s="42"/>
      <c r="P232" s="119"/>
      <c r="S232" s="119"/>
      <c r="T232" s="119"/>
      <c r="U232" s="119"/>
      <c r="V232" s="119"/>
      <c r="W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K232" s="32"/>
      <c r="AM232" s="5"/>
      <c r="AO232" s="5"/>
      <c r="AP232" s="5"/>
      <c r="AQ232" s="5"/>
      <c r="AR232" s="5"/>
      <c r="CS232" s="5"/>
      <c r="CT232" s="5"/>
      <c r="CU232" s="5"/>
      <c r="CV232" s="5"/>
      <c r="CW232" s="5"/>
      <c r="CX232" s="5"/>
      <c r="CY232" s="5"/>
      <c r="CZ232" s="5"/>
      <c r="DA232" s="5"/>
    </row>
    <row r="233" spans="1:105" x14ac:dyDescent="0.25">
      <c r="A233" s="128"/>
      <c r="B233" s="109"/>
      <c r="C233" s="109"/>
      <c r="D233" s="129"/>
      <c r="E233" s="42"/>
      <c r="P233" s="119"/>
      <c r="S233" s="119"/>
      <c r="T233" s="119"/>
      <c r="U233" s="119"/>
      <c r="V233" s="119"/>
      <c r="W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K233" s="32"/>
      <c r="AM233" s="5"/>
      <c r="AO233" s="5"/>
      <c r="AP233" s="5"/>
      <c r="AQ233" s="5"/>
      <c r="AR233" s="5"/>
      <c r="CS233" s="5"/>
      <c r="CT233" s="5"/>
      <c r="CU233" s="5"/>
      <c r="CV233" s="5"/>
      <c r="CW233" s="5"/>
      <c r="CX233" s="5"/>
      <c r="CY233" s="5"/>
      <c r="CZ233" s="5"/>
      <c r="DA233" s="5"/>
    </row>
    <row r="234" spans="1:105" x14ac:dyDescent="0.25">
      <c r="A234" s="128"/>
      <c r="B234" s="109"/>
      <c r="C234" s="109"/>
      <c r="D234" s="129"/>
      <c r="E234" s="42"/>
      <c r="P234" s="119"/>
      <c r="S234" s="119"/>
      <c r="T234" s="119"/>
      <c r="U234" s="119"/>
      <c r="V234" s="119"/>
      <c r="W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K234" s="32"/>
      <c r="AM234" s="5"/>
      <c r="AO234" s="5"/>
      <c r="AP234" s="5"/>
      <c r="AQ234" s="5"/>
      <c r="AR234" s="5"/>
      <c r="CS234" s="5"/>
      <c r="CT234" s="5"/>
      <c r="CU234" s="5"/>
      <c r="CV234" s="5"/>
      <c r="CW234" s="5"/>
      <c r="CX234" s="5"/>
      <c r="CY234" s="5"/>
      <c r="CZ234" s="5"/>
      <c r="DA234" s="5"/>
    </row>
    <row r="235" spans="1:105" x14ac:dyDescent="0.25">
      <c r="A235" s="128"/>
      <c r="B235" s="109"/>
      <c r="C235" s="109"/>
      <c r="D235" s="129"/>
      <c r="E235" s="42"/>
      <c r="P235" s="119"/>
      <c r="S235" s="119"/>
      <c r="T235" s="119"/>
      <c r="U235" s="119"/>
      <c r="V235" s="119"/>
      <c r="W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K235" s="32"/>
      <c r="AM235" s="5"/>
      <c r="AO235" s="5"/>
      <c r="AP235" s="5"/>
      <c r="AQ235" s="5"/>
      <c r="AR235" s="5"/>
      <c r="CS235" s="5"/>
      <c r="CT235" s="5"/>
      <c r="CU235" s="5"/>
      <c r="CV235" s="5"/>
      <c r="CW235" s="5"/>
      <c r="CX235" s="5"/>
      <c r="CY235" s="5"/>
      <c r="CZ235" s="5"/>
      <c r="DA235" s="5"/>
    </row>
    <row r="236" spans="1:105" x14ac:dyDescent="0.25">
      <c r="A236" s="128"/>
      <c r="B236" s="109"/>
      <c r="C236" s="109"/>
      <c r="D236" s="129"/>
      <c r="E236" s="42"/>
      <c r="P236" s="119"/>
      <c r="S236" s="119"/>
      <c r="T236" s="119"/>
      <c r="U236" s="119"/>
      <c r="V236" s="119"/>
      <c r="W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K236" s="32"/>
      <c r="AM236" s="5"/>
      <c r="AO236" s="5"/>
      <c r="AP236" s="5"/>
      <c r="AQ236" s="5"/>
      <c r="AR236" s="5"/>
      <c r="CS236" s="5"/>
      <c r="CT236" s="5"/>
      <c r="CU236" s="5"/>
      <c r="CV236" s="5"/>
      <c r="CW236" s="5"/>
      <c r="CX236" s="5"/>
      <c r="CY236" s="5"/>
      <c r="CZ236" s="5"/>
      <c r="DA236" s="5"/>
    </row>
    <row r="237" spans="1:105" x14ac:dyDescent="0.25">
      <c r="A237" s="128"/>
      <c r="B237" s="109"/>
      <c r="C237" s="109"/>
      <c r="D237" s="129"/>
      <c r="E237" s="42"/>
      <c r="P237" s="119"/>
      <c r="S237" s="119"/>
      <c r="T237" s="119"/>
      <c r="U237" s="119"/>
      <c r="V237" s="119"/>
      <c r="W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K237" s="32"/>
      <c r="AM237" s="5"/>
      <c r="AO237" s="5"/>
      <c r="AP237" s="5"/>
      <c r="AQ237" s="5"/>
      <c r="AR237" s="5"/>
      <c r="CS237" s="5"/>
      <c r="CT237" s="5"/>
      <c r="CU237" s="5"/>
      <c r="CV237" s="5"/>
      <c r="CW237" s="5"/>
      <c r="CX237" s="5"/>
      <c r="CY237" s="5"/>
      <c r="CZ237" s="5"/>
      <c r="DA237" s="5"/>
    </row>
    <row r="238" spans="1:105" x14ac:dyDescent="0.25">
      <c r="A238" s="128"/>
      <c r="B238" s="109"/>
      <c r="C238" s="109"/>
      <c r="D238" s="129"/>
      <c r="E238" s="42"/>
      <c r="P238" s="119"/>
      <c r="S238" s="119"/>
      <c r="T238" s="119"/>
      <c r="U238" s="119"/>
      <c r="V238" s="119"/>
      <c r="W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K238" s="32"/>
      <c r="AM238" s="5"/>
      <c r="AO238" s="5"/>
      <c r="AP238" s="5"/>
      <c r="AQ238" s="5"/>
      <c r="AR238" s="5"/>
      <c r="CS238" s="5"/>
      <c r="CT238" s="5"/>
      <c r="CU238" s="5"/>
      <c r="CV238" s="5"/>
      <c r="CW238" s="5"/>
      <c r="CX238" s="5"/>
      <c r="CY238" s="5"/>
      <c r="CZ238" s="5"/>
      <c r="DA238" s="5"/>
    </row>
    <row r="239" spans="1:105" x14ac:dyDescent="0.25">
      <c r="A239" s="128"/>
      <c r="B239" s="109"/>
      <c r="C239" s="109"/>
      <c r="D239" s="129"/>
      <c r="E239" s="42"/>
      <c r="P239" s="119"/>
      <c r="S239" s="119"/>
      <c r="T239" s="119"/>
      <c r="U239" s="119"/>
      <c r="V239" s="119"/>
      <c r="W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K239" s="32"/>
      <c r="AM239" s="5"/>
      <c r="AO239" s="5"/>
      <c r="AP239" s="5"/>
      <c r="AQ239" s="5"/>
      <c r="AR239" s="5"/>
      <c r="CS239" s="5"/>
      <c r="CT239" s="5"/>
      <c r="CU239" s="5"/>
      <c r="CV239" s="5"/>
      <c r="CW239" s="5"/>
      <c r="CX239" s="5"/>
      <c r="CY239" s="5"/>
      <c r="CZ239" s="5"/>
      <c r="DA239" s="5"/>
    </row>
    <row r="240" spans="1:105" x14ac:dyDescent="0.25">
      <c r="A240" s="128"/>
      <c r="B240" s="109"/>
      <c r="C240" s="109"/>
      <c r="D240" s="129"/>
      <c r="E240" s="42"/>
      <c r="P240" s="119"/>
      <c r="S240" s="119"/>
      <c r="T240" s="119"/>
      <c r="U240" s="119"/>
      <c r="V240" s="119"/>
      <c r="W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K240" s="32"/>
      <c r="AM240" s="5"/>
      <c r="AO240" s="5"/>
      <c r="AP240" s="5"/>
      <c r="AQ240" s="5"/>
      <c r="AR240" s="5"/>
      <c r="CS240" s="5"/>
      <c r="CT240" s="5"/>
      <c r="CU240" s="5"/>
      <c r="CV240" s="5"/>
      <c r="CW240" s="5"/>
      <c r="CX240" s="5"/>
      <c r="CY240" s="5"/>
      <c r="CZ240" s="5"/>
      <c r="DA240" s="5"/>
    </row>
    <row r="241" spans="1:105" x14ac:dyDescent="0.25">
      <c r="A241" s="128"/>
      <c r="B241" s="109"/>
      <c r="C241" s="109"/>
      <c r="D241" s="129"/>
      <c r="E241" s="42"/>
      <c r="P241" s="119"/>
      <c r="S241" s="119"/>
      <c r="T241" s="119"/>
      <c r="U241" s="119"/>
      <c r="V241" s="119"/>
      <c r="W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K241" s="32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S241"/>
      <c r="CT241"/>
      <c r="CU241"/>
      <c r="CV241"/>
      <c r="CW241"/>
      <c r="CX241"/>
      <c r="CY241"/>
      <c r="CZ241"/>
      <c r="DA241"/>
    </row>
    <row r="242" spans="1:105" x14ac:dyDescent="0.25">
      <c r="A242" s="128"/>
      <c r="B242" s="109"/>
      <c r="C242" s="109"/>
      <c r="D242" s="129"/>
      <c r="E242" s="42"/>
      <c r="P242" s="119"/>
      <c r="S242" s="119"/>
      <c r="T242" s="119"/>
      <c r="U242" s="119"/>
      <c r="V242" s="119"/>
      <c r="W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K242" s="3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S242"/>
      <c r="CT242"/>
      <c r="CU242"/>
      <c r="CV242"/>
      <c r="CW242"/>
      <c r="CX242"/>
      <c r="CY242"/>
      <c r="CZ242"/>
      <c r="DA242"/>
    </row>
    <row r="243" spans="1:105" x14ac:dyDescent="0.25">
      <c r="A243" s="128"/>
      <c r="B243" s="109"/>
      <c r="C243" s="109"/>
      <c r="D243" s="129"/>
      <c r="E243" s="42"/>
      <c r="P243" s="119"/>
      <c r="S243" s="119"/>
      <c r="T243" s="119"/>
      <c r="U243" s="119"/>
      <c r="V243" s="119"/>
      <c r="W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K243" s="32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S243"/>
      <c r="CT243"/>
      <c r="CU243"/>
      <c r="CV243"/>
      <c r="CW243"/>
      <c r="CX243"/>
      <c r="CY243"/>
      <c r="CZ243"/>
      <c r="DA243"/>
    </row>
    <row r="244" spans="1:105" x14ac:dyDescent="0.25">
      <c r="A244" s="128"/>
      <c r="B244" s="109"/>
      <c r="C244" s="109"/>
      <c r="D244" s="129"/>
      <c r="E244" s="42"/>
      <c r="P244" s="119"/>
      <c r="S244" s="119"/>
      <c r="T244" s="119"/>
      <c r="U244" s="119"/>
      <c r="V244" s="119"/>
      <c r="W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K244" s="32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S244"/>
      <c r="CT244"/>
      <c r="CU244"/>
      <c r="CV244"/>
      <c r="CW244"/>
      <c r="CX244"/>
      <c r="CY244"/>
      <c r="CZ244"/>
      <c r="DA244"/>
    </row>
    <row r="245" spans="1:105" x14ac:dyDescent="0.25">
      <c r="A245" s="128"/>
      <c r="B245" s="109"/>
      <c r="C245" s="109"/>
      <c r="D245" s="129"/>
      <c r="E245" s="42"/>
      <c r="P245" s="119"/>
      <c r="S245" s="119"/>
      <c r="T245" s="119"/>
      <c r="U245" s="119"/>
      <c r="V245" s="119"/>
      <c r="W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K245" s="32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S245"/>
      <c r="CT245"/>
      <c r="CU245"/>
      <c r="CV245"/>
      <c r="CW245"/>
      <c r="CX245"/>
      <c r="CY245"/>
      <c r="CZ245"/>
      <c r="DA245"/>
    </row>
    <row r="246" spans="1:105" x14ac:dyDescent="0.25">
      <c r="A246" s="128"/>
      <c r="B246" s="109"/>
      <c r="C246" s="109"/>
      <c r="D246" s="129"/>
      <c r="E246" s="42"/>
      <c r="P246" s="119"/>
      <c r="S246" s="119"/>
      <c r="T246" s="119"/>
      <c r="U246" s="119"/>
      <c r="V246" s="119"/>
      <c r="W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K246" s="32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S246"/>
      <c r="CT246"/>
      <c r="CU246"/>
      <c r="CV246"/>
      <c r="CW246"/>
      <c r="CX246"/>
      <c r="CY246"/>
      <c r="CZ246"/>
      <c r="DA246"/>
    </row>
    <row r="247" spans="1:105" x14ac:dyDescent="0.25">
      <c r="A247" s="128"/>
      <c r="B247" s="109"/>
      <c r="C247" s="109"/>
      <c r="D247" s="129"/>
      <c r="E247" s="42"/>
      <c r="P247" s="119"/>
      <c r="S247" s="119"/>
      <c r="T247" s="119"/>
      <c r="U247" s="119"/>
      <c r="V247" s="119"/>
      <c r="W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K247" s="32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S247"/>
      <c r="CT247"/>
      <c r="CU247"/>
      <c r="CV247"/>
      <c r="CW247"/>
      <c r="CX247"/>
      <c r="CY247"/>
      <c r="CZ247"/>
      <c r="DA247"/>
    </row>
    <row r="248" spans="1:105" x14ac:dyDescent="0.25">
      <c r="A248" s="128"/>
      <c r="B248" s="109"/>
      <c r="C248" s="109"/>
      <c r="D248" s="129"/>
      <c r="E248" s="42"/>
      <c r="P248" s="119"/>
      <c r="S248" s="119"/>
      <c r="T248" s="119"/>
      <c r="U248" s="119"/>
      <c r="V248" s="119"/>
      <c r="W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K248" s="32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S248"/>
      <c r="CT248"/>
      <c r="CU248"/>
      <c r="CV248"/>
      <c r="CW248"/>
      <c r="CX248"/>
      <c r="CY248"/>
      <c r="CZ248"/>
      <c r="DA248"/>
    </row>
    <row r="249" spans="1:105" x14ac:dyDescent="0.25">
      <c r="A249" s="128"/>
      <c r="B249" s="109"/>
      <c r="C249" s="109"/>
      <c r="D249" s="129"/>
      <c r="E249" s="42"/>
      <c r="P249" s="119"/>
      <c r="S249" s="119"/>
      <c r="T249" s="119"/>
      <c r="U249" s="119"/>
      <c r="V249" s="119"/>
      <c r="W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K249" s="32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S249"/>
      <c r="CT249"/>
      <c r="CU249"/>
      <c r="CV249"/>
      <c r="CW249"/>
      <c r="CX249"/>
      <c r="CY249"/>
      <c r="CZ249"/>
      <c r="DA249"/>
    </row>
    <row r="250" spans="1:105" x14ac:dyDescent="0.25">
      <c r="A250" s="128"/>
      <c r="B250" s="109"/>
      <c r="C250" s="109"/>
      <c r="D250" s="129"/>
      <c r="E250" s="42"/>
      <c r="P250" s="119"/>
      <c r="S250" s="119"/>
      <c r="T250" s="119"/>
      <c r="U250" s="119"/>
      <c r="V250" s="119"/>
      <c r="W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K250" s="32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S250"/>
      <c r="CT250"/>
      <c r="CU250"/>
      <c r="CV250"/>
      <c r="CW250"/>
      <c r="CX250"/>
      <c r="CY250"/>
      <c r="CZ250"/>
      <c r="DA250"/>
    </row>
    <row r="251" spans="1:105" x14ac:dyDescent="0.25">
      <c r="A251" s="128"/>
      <c r="B251" s="109"/>
      <c r="C251" s="109"/>
      <c r="D251" s="129"/>
      <c r="E251" s="42"/>
      <c r="P251" s="119"/>
      <c r="S251" s="119"/>
      <c r="T251" s="119"/>
      <c r="U251" s="119"/>
      <c r="V251" s="119"/>
      <c r="W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K251" s="32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S251"/>
      <c r="CT251"/>
      <c r="CU251"/>
      <c r="CV251"/>
      <c r="CW251"/>
      <c r="CX251"/>
      <c r="CY251"/>
      <c r="CZ251"/>
      <c r="DA251"/>
    </row>
    <row r="252" spans="1:105" x14ac:dyDescent="0.25">
      <c r="A252" s="128"/>
      <c r="B252" s="109"/>
      <c r="C252" s="109"/>
      <c r="D252" s="129"/>
      <c r="E252" s="42"/>
      <c r="P252" s="119"/>
      <c r="S252" s="119"/>
      <c r="T252" s="119"/>
      <c r="U252" s="119"/>
      <c r="V252" s="119"/>
      <c r="W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K252" s="3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S252"/>
      <c r="CT252"/>
      <c r="CU252"/>
      <c r="CV252"/>
      <c r="CW252"/>
      <c r="CX252"/>
      <c r="CY252"/>
      <c r="CZ252"/>
      <c r="DA252"/>
    </row>
    <row r="253" spans="1:105" x14ac:dyDescent="0.25">
      <c r="A253" s="128"/>
      <c r="B253" s="109"/>
      <c r="C253" s="109"/>
      <c r="D253" s="129"/>
      <c r="E253" s="42"/>
      <c r="P253" s="119"/>
      <c r="S253" s="119"/>
      <c r="T253" s="119"/>
      <c r="U253" s="119"/>
      <c r="V253" s="119"/>
      <c r="W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K253" s="32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S253"/>
      <c r="CT253"/>
      <c r="CU253"/>
      <c r="CV253"/>
      <c r="CW253"/>
      <c r="CX253"/>
      <c r="CY253"/>
      <c r="CZ253"/>
      <c r="DA253"/>
    </row>
    <row r="254" spans="1:105" x14ac:dyDescent="0.25">
      <c r="A254" s="128"/>
      <c r="B254" s="109"/>
      <c r="C254" s="109"/>
      <c r="D254" s="129"/>
      <c r="E254" s="42"/>
      <c r="P254" s="119"/>
      <c r="S254" s="119"/>
      <c r="T254" s="119"/>
      <c r="U254" s="119"/>
      <c r="V254" s="119"/>
      <c r="W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K254" s="32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S254"/>
      <c r="CT254"/>
      <c r="CU254"/>
      <c r="CV254"/>
      <c r="CW254"/>
      <c r="CX254"/>
      <c r="CY254"/>
      <c r="CZ254"/>
      <c r="DA254"/>
    </row>
    <row r="255" spans="1:105" x14ac:dyDescent="0.25">
      <c r="A255" s="128"/>
      <c r="B255" s="109"/>
      <c r="C255" s="109"/>
      <c r="D255" s="129"/>
      <c r="E255" s="42"/>
      <c r="P255" s="119"/>
      <c r="S255" s="119"/>
      <c r="T255" s="119"/>
      <c r="U255" s="119"/>
      <c r="V255" s="119"/>
      <c r="W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K255" s="32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S255"/>
      <c r="CT255"/>
      <c r="CU255"/>
      <c r="CV255"/>
      <c r="CW255"/>
      <c r="CX255"/>
      <c r="CY255"/>
      <c r="CZ255"/>
      <c r="DA255"/>
    </row>
    <row r="256" spans="1:105" x14ac:dyDescent="0.25">
      <c r="A256" s="128"/>
      <c r="B256" s="109"/>
      <c r="C256" s="109"/>
      <c r="D256" s="129"/>
      <c r="E256" s="42"/>
      <c r="P256" s="119"/>
      <c r="S256" s="119"/>
      <c r="T256" s="119"/>
      <c r="U256" s="119"/>
      <c r="V256" s="119"/>
      <c r="W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K256" s="32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S256"/>
      <c r="CT256"/>
      <c r="CU256"/>
      <c r="CV256"/>
      <c r="CW256"/>
      <c r="CX256"/>
      <c r="CY256"/>
      <c r="CZ256"/>
      <c r="DA256"/>
    </row>
    <row r="257" spans="1:105" x14ac:dyDescent="0.25">
      <c r="A257" s="128"/>
      <c r="B257" s="109"/>
      <c r="C257" s="109"/>
      <c r="D257" s="129"/>
      <c r="E257" s="42"/>
      <c r="P257" s="119"/>
      <c r="S257" s="119"/>
      <c r="T257" s="119"/>
      <c r="U257" s="119"/>
      <c r="V257" s="119"/>
      <c r="W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K257" s="32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S257"/>
      <c r="CT257"/>
      <c r="CU257"/>
      <c r="CV257"/>
      <c r="CW257"/>
      <c r="CX257"/>
      <c r="CY257"/>
      <c r="CZ257"/>
      <c r="DA257"/>
    </row>
    <row r="258" spans="1:105" x14ac:dyDescent="0.25">
      <c r="A258" s="128"/>
      <c r="B258" s="109"/>
      <c r="C258" s="109"/>
      <c r="D258" s="129"/>
      <c r="E258" s="42"/>
      <c r="P258" s="119"/>
      <c r="S258" s="119"/>
      <c r="T258" s="119"/>
      <c r="U258" s="119"/>
      <c r="V258" s="119"/>
      <c r="W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K258" s="32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S258"/>
      <c r="CT258"/>
      <c r="CU258"/>
      <c r="CV258"/>
      <c r="CW258"/>
      <c r="CX258"/>
      <c r="CY258"/>
      <c r="CZ258"/>
      <c r="DA258"/>
    </row>
    <row r="259" spans="1:105" x14ac:dyDescent="0.25">
      <c r="A259" s="128"/>
      <c r="B259" s="109"/>
      <c r="C259" s="109"/>
      <c r="D259" s="129"/>
      <c r="E259" s="42"/>
      <c r="P259" s="119"/>
      <c r="S259" s="119"/>
      <c r="T259" s="119"/>
      <c r="U259" s="119"/>
      <c r="V259" s="119"/>
      <c r="W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K259" s="32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S259"/>
      <c r="CT259"/>
      <c r="CU259"/>
      <c r="CV259"/>
      <c r="CW259"/>
      <c r="CX259"/>
      <c r="CY259"/>
      <c r="CZ259"/>
      <c r="DA259"/>
    </row>
    <row r="260" spans="1:105" x14ac:dyDescent="0.25">
      <c r="A260" s="128"/>
      <c r="B260" s="109"/>
      <c r="C260" s="109"/>
      <c r="D260" s="129"/>
      <c r="E260" s="42"/>
      <c r="P260" s="119"/>
      <c r="S260" s="119"/>
      <c r="T260" s="119"/>
      <c r="U260" s="119"/>
      <c r="V260" s="119"/>
      <c r="W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K260" s="32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S260"/>
      <c r="CT260"/>
      <c r="CU260"/>
      <c r="CV260"/>
      <c r="CW260"/>
      <c r="CX260"/>
      <c r="CY260"/>
      <c r="CZ260"/>
      <c r="DA260"/>
    </row>
    <row r="261" spans="1:105" x14ac:dyDescent="0.25">
      <c r="A261" s="128"/>
      <c r="B261" s="109"/>
      <c r="C261" s="109"/>
      <c r="D261" s="129"/>
      <c r="E261" s="42"/>
      <c r="P261" s="119"/>
      <c r="S261" s="119"/>
      <c r="T261" s="119"/>
      <c r="U261" s="119"/>
      <c r="V261" s="119"/>
      <c r="W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K261" s="32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S261"/>
      <c r="CT261"/>
      <c r="CU261"/>
      <c r="CV261"/>
      <c r="CW261"/>
      <c r="CX261"/>
      <c r="CY261"/>
      <c r="CZ261"/>
      <c r="DA261"/>
    </row>
    <row r="262" spans="1:105" x14ac:dyDescent="0.25">
      <c r="A262" s="128"/>
      <c r="B262" s="109"/>
      <c r="C262" s="109"/>
      <c r="D262" s="129"/>
      <c r="E262" s="42"/>
      <c r="P262" s="119"/>
      <c r="S262" s="119"/>
      <c r="T262" s="119"/>
      <c r="U262" s="119"/>
      <c r="V262" s="119"/>
      <c r="W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K262" s="3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S262"/>
      <c r="CT262"/>
      <c r="CU262"/>
      <c r="CV262"/>
      <c r="CW262"/>
      <c r="CX262"/>
      <c r="CY262"/>
      <c r="CZ262"/>
      <c r="DA262"/>
    </row>
    <row r="263" spans="1:105" x14ac:dyDescent="0.25">
      <c r="A263" s="128"/>
      <c r="B263" s="109"/>
      <c r="C263" s="109"/>
      <c r="D263" s="129"/>
      <c r="E263" s="42"/>
      <c r="P263" s="119"/>
      <c r="S263" s="119"/>
      <c r="T263" s="119"/>
      <c r="U263" s="119"/>
      <c r="V263" s="119"/>
      <c r="W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K263" s="32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S263"/>
      <c r="CT263"/>
      <c r="CU263"/>
      <c r="CV263"/>
      <c r="CW263"/>
      <c r="CX263"/>
      <c r="CY263"/>
      <c r="CZ263"/>
      <c r="DA263"/>
    </row>
    <row r="264" spans="1:105" x14ac:dyDescent="0.25">
      <c r="A264" s="128"/>
      <c r="B264" s="109"/>
      <c r="C264" s="109"/>
      <c r="D264" s="129"/>
      <c r="E264" s="42"/>
      <c r="P264" s="119"/>
      <c r="S264" s="119"/>
      <c r="T264" s="119"/>
      <c r="U264" s="119"/>
      <c r="V264" s="119"/>
      <c r="W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K264" s="32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S264"/>
      <c r="CT264"/>
      <c r="CU264"/>
      <c r="CV264"/>
      <c r="CW264"/>
      <c r="CX264"/>
      <c r="CY264"/>
      <c r="CZ264"/>
      <c r="DA264"/>
    </row>
    <row r="265" spans="1:105" x14ac:dyDescent="0.25">
      <c r="A265" s="128"/>
      <c r="B265" s="109"/>
      <c r="C265" s="109"/>
      <c r="D265" s="129"/>
      <c r="E265" s="42"/>
      <c r="P265" s="119"/>
      <c r="S265" s="119"/>
      <c r="T265" s="119"/>
      <c r="U265" s="119"/>
      <c r="V265" s="119"/>
      <c r="W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K265" s="32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S265"/>
      <c r="CT265"/>
      <c r="CU265"/>
      <c r="CV265"/>
      <c r="CW265"/>
      <c r="CX265"/>
      <c r="CY265"/>
      <c r="CZ265"/>
      <c r="DA265"/>
    </row>
    <row r="266" spans="1:105" x14ac:dyDescent="0.25">
      <c r="A266" s="128"/>
      <c r="B266" s="109"/>
      <c r="C266" s="109"/>
      <c r="D266" s="129"/>
      <c r="E266" s="42"/>
      <c r="P266" s="119"/>
      <c r="S266" s="119"/>
      <c r="T266" s="119"/>
      <c r="U266" s="119"/>
      <c r="V266" s="119"/>
      <c r="W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K266" s="32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S266"/>
      <c r="CT266"/>
      <c r="CU266"/>
      <c r="CV266"/>
      <c r="CW266"/>
      <c r="CX266"/>
      <c r="CY266"/>
      <c r="CZ266"/>
      <c r="DA266"/>
    </row>
    <row r="267" spans="1:105" x14ac:dyDescent="0.25">
      <c r="A267" s="128"/>
      <c r="B267" s="109"/>
      <c r="C267" s="109"/>
      <c r="D267" s="129"/>
      <c r="E267" s="42"/>
      <c r="P267" s="119"/>
      <c r="S267" s="119"/>
      <c r="T267" s="119"/>
      <c r="U267" s="119"/>
      <c r="V267" s="119"/>
      <c r="W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K267" s="32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S267"/>
      <c r="CT267"/>
      <c r="CU267"/>
      <c r="CV267"/>
      <c r="CW267"/>
      <c r="CX267"/>
      <c r="CY267"/>
      <c r="CZ267"/>
      <c r="DA267"/>
    </row>
    <row r="268" spans="1:105" x14ac:dyDescent="0.25">
      <c r="A268" s="128"/>
      <c r="B268" s="109"/>
      <c r="C268" s="109"/>
      <c r="D268" s="129"/>
      <c r="E268" s="42"/>
      <c r="P268" s="119"/>
      <c r="S268" s="119"/>
      <c r="T268" s="119"/>
      <c r="U268" s="119"/>
      <c r="V268" s="119"/>
      <c r="W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K268" s="32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S268"/>
      <c r="CT268"/>
      <c r="CU268"/>
      <c r="CV268"/>
      <c r="CW268"/>
      <c r="CX268"/>
      <c r="CY268"/>
      <c r="CZ268"/>
      <c r="DA268"/>
    </row>
    <row r="269" spans="1:105" x14ac:dyDescent="0.25">
      <c r="A269" s="128"/>
      <c r="B269" s="109"/>
      <c r="C269" s="109"/>
      <c r="D269" s="129"/>
      <c r="E269" s="42"/>
      <c r="P269" s="119"/>
      <c r="S269" s="119"/>
      <c r="T269" s="119"/>
      <c r="U269" s="119"/>
      <c r="V269" s="119"/>
      <c r="W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K269" s="32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S269"/>
      <c r="CT269"/>
      <c r="CU269"/>
      <c r="CV269"/>
      <c r="CW269"/>
      <c r="CX269"/>
      <c r="CY269"/>
      <c r="CZ269"/>
      <c r="DA269"/>
    </row>
    <row r="270" spans="1:105" x14ac:dyDescent="0.25">
      <c r="A270" s="128"/>
      <c r="B270" s="109"/>
      <c r="C270" s="109"/>
      <c r="D270" s="129"/>
      <c r="E270" s="42"/>
      <c r="P270" s="119"/>
      <c r="S270" s="119"/>
      <c r="T270" s="119"/>
      <c r="U270" s="119"/>
      <c r="V270" s="119"/>
      <c r="W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K270" s="32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S270"/>
      <c r="CT270"/>
      <c r="CU270"/>
      <c r="CV270"/>
      <c r="CW270"/>
      <c r="CX270"/>
      <c r="CY270"/>
      <c r="CZ270"/>
      <c r="DA270"/>
    </row>
    <row r="271" spans="1:105" x14ac:dyDescent="0.25">
      <c r="A271" s="128"/>
      <c r="B271" s="109"/>
      <c r="C271" s="109"/>
      <c r="D271" s="129"/>
      <c r="E271" s="42"/>
      <c r="P271" s="119"/>
      <c r="S271" s="119"/>
      <c r="T271" s="119"/>
      <c r="U271" s="119"/>
      <c r="V271" s="119"/>
      <c r="W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K271" s="32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S271"/>
      <c r="CT271"/>
      <c r="CU271"/>
      <c r="CV271"/>
      <c r="CW271"/>
      <c r="CX271"/>
      <c r="CY271"/>
      <c r="CZ271"/>
      <c r="DA271"/>
    </row>
    <row r="272" spans="1:105" x14ac:dyDescent="0.25">
      <c r="A272" s="128"/>
      <c r="B272" s="109"/>
      <c r="C272" s="109"/>
      <c r="D272" s="129"/>
      <c r="E272" s="42"/>
      <c r="P272" s="119"/>
      <c r="S272" s="119"/>
      <c r="T272" s="119"/>
      <c r="U272" s="119"/>
      <c r="V272" s="119"/>
      <c r="W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K272" s="3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S272"/>
      <c r="CT272"/>
      <c r="CU272"/>
      <c r="CV272"/>
      <c r="CW272"/>
      <c r="CX272"/>
      <c r="CY272"/>
      <c r="CZ272"/>
      <c r="DA272"/>
    </row>
    <row r="273" spans="1:105" x14ac:dyDescent="0.25">
      <c r="A273" s="128"/>
      <c r="B273" s="109"/>
      <c r="C273" s="109"/>
      <c r="D273" s="129"/>
      <c r="E273" s="42"/>
      <c r="P273" s="119"/>
      <c r="S273" s="119"/>
      <c r="T273" s="119"/>
      <c r="U273" s="119"/>
      <c r="V273" s="119"/>
      <c r="W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K273" s="32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S273"/>
      <c r="CT273"/>
      <c r="CU273"/>
      <c r="CV273"/>
      <c r="CW273"/>
      <c r="CX273"/>
      <c r="CY273"/>
      <c r="CZ273"/>
      <c r="DA273"/>
    </row>
    <row r="274" spans="1:105" x14ac:dyDescent="0.25">
      <c r="A274" s="128"/>
      <c r="B274" s="109"/>
      <c r="C274" s="109"/>
      <c r="D274" s="129"/>
      <c r="E274" s="42"/>
      <c r="P274" s="119"/>
      <c r="S274" s="119"/>
      <c r="T274" s="119"/>
      <c r="U274" s="119"/>
      <c r="V274" s="119"/>
      <c r="W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K274" s="32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S274"/>
      <c r="CT274"/>
      <c r="CU274"/>
      <c r="CV274"/>
      <c r="CW274"/>
      <c r="CX274"/>
      <c r="CY274"/>
      <c r="CZ274"/>
      <c r="DA274"/>
    </row>
    <row r="275" spans="1:105" x14ac:dyDescent="0.25">
      <c r="A275" s="128"/>
      <c r="B275" s="109"/>
      <c r="C275" s="109"/>
      <c r="D275" s="129"/>
      <c r="E275" s="42"/>
      <c r="P275" s="119"/>
      <c r="S275" s="119"/>
      <c r="T275" s="119"/>
      <c r="U275" s="119"/>
      <c r="V275" s="119"/>
      <c r="W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K275" s="32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S275"/>
      <c r="CT275"/>
      <c r="CU275"/>
      <c r="CV275"/>
      <c r="CW275"/>
      <c r="CX275"/>
      <c r="CY275"/>
      <c r="CZ275"/>
      <c r="DA275"/>
    </row>
    <row r="276" spans="1:105" x14ac:dyDescent="0.25">
      <c r="A276" s="128"/>
      <c r="B276" s="109"/>
      <c r="C276" s="109"/>
      <c r="D276" s="129"/>
      <c r="E276" s="42"/>
      <c r="P276" s="119"/>
      <c r="S276" s="119"/>
      <c r="T276" s="119"/>
      <c r="U276" s="119"/>
      <c r="V276" s="119"/>
      <c r="W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K276" s="32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S276"/>
      <c r="CT276"/>
      <c r="CU276"/>
      <c r="CV276"/>
      <c r="CW276"/>
      <c r="CX276"/>
      <c r="CY276"/>
      <c r="CZ276"/>
      <c r="DA276"/>
    </row>
    <row r="277" spans="1:105" x14ac:dyDescent="0.25">
      <c r="A277" s="128"/>
      <c r="B277" s="109"/>
      <c r="C277" s="109"/>
      <c r="D277" s="129"/>
      <c r="E277" s="42"/>
      <c r="P277" s="119"/>
      <c r="S277" s="119"/>
      <c r="T277" s="119"/>
      <c r="U277" s="119"/>
      <c r="V277" s="119"/>
      <c r="W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K277" s="32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S277"/>
      <c r="CT277"/>
      <c r="CU277"/>
      <c r="CV277"/>
      <c r="CW277"/>
      <c r="CX277"/>
      <c r="CY277"/>
      <c r="CZ277"/>
      <c r="DA277"/>
    </row>
    <row r="278" spans="1:105" x14ac:dyDescent="0.25">
      <c r="A278" s="128"/>
      <c r="B278" s="109"/>
      <c r="C278" s="109"/>
      <c r="D278" s="129"/>
      <c r="E278" s="42"/>
      <c r="P278" s="119"/>
      <c r="S278" s="119"/>
      <c r="T278" s="119"/>
      <c r="U278" s="119"/>
      <c r="V278" s="119"/>
      <c r="W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K278" s="32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S278"/>
      <c r="CT278"/>
      <c r="CU278"/>
      <c r="CV278"/>
      <c r="CW278"/>
      <c r="CX278"/>
      <c r="CY278"/>
      <c r="CZ278"/>
      <c r="DA278"/>
    </row>
    <row r="279" spans="1:105" x14ac:dyDescent="0.25">
      <c r="A279" s="128"/>
      <c r="B279" s="109"/>
      <c r="C279" s="109"/>
      <c r="D279" s="129"/>
      <c r="E279" s="42"/>
      <c r="P279" s="119"/>
      <c r="S279" s="119"/>
      <c r="T279" s="119"/>
      <c r="U279" s="119"/>
      <c r="V279" s="119"/>
      <c r="W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K279" s="32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S279"/>
      <c r="CT279"/>
      <c r="CU279"/>
      <c r="CV279"/>
      <c r="CW279"/>
      <c r="CX279"/>
      <c r="CY279"/>
      <c r="CZ279"/>
      <c r="DA279"/>
    </row>
    <row r="280" spans="1:105" x14ac:dyDescent="0.25">
      <c r="A280" s="128"/>
      <c r="B280" s="109"/>
      <c r="C280" s="109"/>
      <c r="D280" s="129"/>
      <c r="E280" s="42"/>
      <c r="P280" s="119"/>
      <c r="S280" s="119"/>
      <c r="T280" s="119"/>
      <c r="U280" s="119"/>
      <c r="V280" s="119"/>
      <c r="W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K280" s="32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S280"/>
      <c r="CT280"/>
      <c r="CU280"/>
      <c r="CV280"/>
      <c r="CW280"/>
      <c r="CX280"/>
      <c r="CY280"/>
      <c r="CZ280"/>
      <c r="DA280"/>
    </row>
    <row r="281" spans="1:105" x14ac:dyDescent="0.25">
      <c r="A281" s="128"/>
      <c r="B281" s="109"/>
      <c r="C281" s="109"/>
      <c r="D281" s="129"/>
      <c r="E281" s="42"/>
      <c r="P281" s="119"/>
      <c r="S281" s="119"/>
      <c r="T281" s="119"/>
      <c r="U281" s="119"/>
      <c r="V281" s="119"/>
      <c r="W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K281" s="32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S281"/>
      <c r="CT281"/>
      <c r="CU281"/>
      <c r="CV281"/>
      <c r="CW281"/>
      <c r="CX281"/>
      <c r="CY281"/>
      <c r="CZ281"/>
      <c r="DA281"/>
    </row>
    <row r="282" spans="1:105" x14ac:dyDescent="0.25">
      <c r="A282" s="128"/>
      <c r="B282" s="109"/>
      <c r="C282" s="109"/>
      <c r="D282" s="129"/>
      <c r="E282" s="42"/>
      <c r="P282" s="119"/>
      <c r="S282" s="119"/>
      <c r="T282" s="119"/>
      <c r="U282" s="119"/>
      <c r="V282" s="119"/>
      <c r="W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K282" s="3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S282"/>
      <c r="CT282"/>
      <c r="CU282"/>
      <c r="CV282"/>
      <c r="CW282"/>
      <c r="CX282"/>
      <c r="CY282"/>
      <c r="CZ282"/>
      <c r="DA282"/>
    </row>
    <row r="283" spans="1:105" x14ac:dyDescent="0.25">
      <c r="A283" s="128"/>
      <c r="B283" s="109"/>
      <c r="C283" s="109"/>
      <c r="D283" s="129"/>
      <c r="E283" s="42"/>
      <c r="P283" s="119"/>
      <c r="S283" s="119"/>
      <c r="T283" s="119"/>
      <c r="U283" s="119"/>
      <c r="V283" s="119"/>
      <c r="W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K283" s="32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S283"/>
      <c r="CT283"/>
      <c r="CU283"/>
      <c r="CV283"/>
      <c r="CW283"/>
      <c r="CX283"/>
      <c r="CY283"/>
      <c r="CZ283"/>
      <c r="DA283"/>
    </row>
    <row r="284" spans="1:105" x14ac:dyDescent="0.25">
      <c r="A284" s="128"/>
      <c r="B284" s="109"/>
      <c r="C284" s="109"/>
      <c r="D284" s="129"/>
      <c r="E284" s="42"/>
      <c r="P284" s="119"/>
      <c r="S284" s="119"/>
      <c r="T284" s="119"/>
      <c r="U284" s="119"/>
      <c r="V284" s="119"/>
      <c r="W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K284" s="32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S284"/>
      <c r="CT284"/>
      <c r="CU284"/>
      <c r="CV284"/>
      <c r="CW284"/>
      <c r="CX284"/>
      <c r="CY284"/>
      <c r="CZ284"/>
      <c r="DA284"/>
    </row>
    <row r="285" spans="1:105" x14ac:dyDescent="0.25">
      <c r="A285" s="128"/>
      <c r="B285" s="109"/>
      <c r="C285" s="109"/>
      <c r="D285" s="129"/>
      <c r="E285" s="42"/>
      <c r="P285" s="119"/>
      <c r="S285" s="119"/>
      <c r="T285" s="119"/>
      <c r="U285" s="119"/>
      <c r="V285" s="119"/>
      <c r="W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K285" s="32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S285"/>
      <c r="CT285"/>
      <c r="CU285"/>
      <c r="CV285"/>
      <c r="CW285"/>
      <c r="CX285"/>
      <c r="CY285"/>
      <c r="CZ285"/>
      <c r="DA285"/>
    </row>
    <row r="286" spans="1:105" x14ac:dyDescent="0.25">
      <c r="A286" s="128"/>
      <c r="B286" s="109"/>
      <c r="C286" s="109"/>
      <c r="D286" s="129"/>
      <c r="E286" s="42"/>
      <c r="P286" s="119"/>
      <c r="S286" s="119"/>
      <c r="T286" s="119"/>
      <c r="U286" s="119"/>
      <c r="V286" s="119"/>
      <c r="W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K286" s="32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S286"/>
      <c r="CT286"/>
      <c r="CU286"/>
      <c r="CV286"/>
      <c r="CW286"/>
      <c r="CX286"/>
      <c r="CY286"/>
      <c r="CZ286"/>
      <c r="DA286"/>
    </row>
    <row r="287" spans="1:105" x14ac:dyDescent="0.25">
      <c r="A287" s="128"/>
      <c r="B287" s="109"/>
      <c r="C287" s="109"/>
      <c r="D287" s="129"/>
      <c r="E287" s="42"/>
      <c r="P287" s="119"/>
      <c r="S287" s="119"/>
      <c r="T287" s="119"/>
      <c r="U287" s="119"/>
      <c r="V287" s="119"/>
      <c r="W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K287" s="32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S287"/>
      <c r="CT287"/>
      <c r="CU287"/>
      <c r="CV287"/>
      <c r="CW287"/>
      <c r="CX287"/>
      <c r="CY287"/>
      <c r="CZ287"/>
      <c r="DA287"/>
    </row>
    <row r="288" spans="1:105" x14ac:dyDescent="0.25">
      <c r="A288" s="128"/>
      <c r="B288" s="109"/>
      <c r="C288" s="109"/>
      <c r="D288" s="129"/>
      <c r="E288" s="42"/>
      <c r="P288" s="119"/>
      <c r="S288" s="119"/>
      <c r="T288" s="119"/>
      <c r="U288" s="119"/>
      <c r="V288" s="119"/>
      <c r="W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K288" s="32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S288"/>
      <c r="CT288"/>
      <c r="CU288"/>
      <c r="CV288"/>
      <c r="CW288"/>
      <c r="CX288"/>
      <c r="CY288"/>
      <c r="CZ288"/>
      <c r="DA288"/>
    </row>
    <row r="289" spans="1:105" x14ac:dyDescent="0.25">
      <c r="A289" s="128"/>
      <c r="B289" s="109"/>
      <c r="C289" s="109"/>
      <c r="D289" s="129"/>
      <c r="E289" s="42"/>
      <c r="P289" s="119"/>
      <c r="S289" s="119"/>
      <c r="T289" s="119"/>
      <c r="U289" s="119"/>
      <c r="V289" s="119"/>
      <c r="W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K289" s="32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S289"/>
      <c r="CT289"/>
      <c r="CU289"/>
      <c r="CV289"/>
      <c r="CW289"/>
      <c r="CX289"/>
      <c r="CY289"/>
      <c r="CZ289"/>
      <c r="DA289"/>
    </row>
    <row r="290" spans="1:105" x14ac:dyDescent="0.25">
      <c r="A290" s="128"/>
      <c r="B290" s="109"/>
      <c r="C290" s="109"/>
      <c r="D290" s="129"/>
      <c r="E290" s="42"/>
      <c r="P290" s="119"/>
      <c r="S290" s="119"/>
      <c r="T290" s="119"/>
      <c r="U290" s="119"/>
      <c r="V290" s="119"/>
      <c r="W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K290" s="32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S290"/>
      <c r="CT290"/>
      <c r="CU290"/>
      <c r="CV290"/>
      <c r="CW290"/>
      <c r="CX290"/>
      <c r="CY290"/>
      <c r="CZ290"/>
      <c r="DA290"/>
    </row>
    <row r="291" spans="1:105" x14ac:dyDescent="0.25">
      <c r="A291" s="128"/>
      <c r="B291" s="109"/>
      <c r="C291" s="109"/>
      <c r="D291" s="129"/>
      <c r="E291" s="42"/>
      <c r="P291" s="119"/>
      <c r="S291" s="119"/>
      <c r="T291" s="119"/>
      <c r="U291" s="119"/>
      <c r="V291" s="119"/>
      <c r="W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K291" s="32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S291"/>
      <c r="CT291"/>
      <c r="CU291"/>
      <c r="CV291"/>
      <c r="CW291"/>
      <c r="CX291"/>
      <c r="CY291"/>
      <c r="CZ291"/>
      <c r="DA291"/>
    </row>
    <row r="292" spans="1:105" x14ac:dyDescent="0.25">
      <c r="A292" s="128"/>
      <c r="B292" s="109"/>
      <c r="C292" s="109"/>
      <c r="D292" s="129"/>
      <c r="E292" s="42"/>
      <c r="P292" s="119"/>
      <c r="S292" s="119"/>
      <c r="T292" s="119"/>
      <c r="U292" s="119"/>
      <c r="V292" s="119"/>
      <c r="W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K292" s="3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S292"/>
      <c r="CT292"/>
      <c r="CU292"/>
      <c r="CV292"/>
      <c r="CW292"/>
      <c r="CX292"/>
      <c r="CY292"/>
      <c r="CZ292"/>
      <c r="DA292"/>
    </row>
    <row r="293" spans="1:105" x14ac:dyDescent="0.25">
      <c r="A293" s="128"/>
      <c r="B293" s="109"/>
      <c r="C293" s="109"/>
      <c r="D293" s="129"/>
      <c r="E293" s="42"/>
      <c r="P293" s="119"/>
      <c r="S293" s="119"/>
      <c r="T293" s="119"/>
      <c r="U293" s="119"/>
      <c r="V293" s="119"/>
      <c r="W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K293" s="32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S293"/>
      <c r="CT293"/>
      <c r="CU293"/>
      <c r="CV293"/>
      <c r="CW293"/>
      <c r="CX293"/>
      <c r="CY293"/>
      <c r="CZ293"/>
      <c r="DA293"/>
    </row>
    <row r="294" spans="1:105" x14ac:dyDescent="0.25">
      <c r="A294" s="128"/>
      <c r="B294" s="109"/>
      <c r="C294" s="109"/>
      <c r="D294" s="129"/>
      <c r="E294" s="42"/>
      <c r="P294" s="119"/>
      <c r="S294" s="119"/>
      <c r="T294" s="119"/>
      <c r="U294" s="119"/>
      <c r="V294" s="119"/>
      <c r="W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K294" s="32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S294"/>
      <c r="CT294"/>
      <c r="CU294"/>
      <c r="CV294"/>
      <c r="CW294"/>
      <c r="CX294"/>
      <c r="CY294"/>
      <c r="CZ294"/>
      <c r="DA294"/>
    </row>
    <row r="295" spans="1:105" x14ac:dyDescent="0.25">
      <c r="A295" s="128"/>
      <c r="B295" s="109"/>
      <c r="C295" s="109"/>
      <c r="D295" s="129"/>
      <c r="E295" s="42"/>
      <c r="P295" s="119"/>
      <c r="S295" s="119"/>
      <c r="T295" s="119"/>
      <c r="U295" s="119"/>
      <c r="V295" s="119"/>
      <c r="W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K295" s="32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S295"/>
      <c r="CT295"/>
      <c r="CU295"/>
      <c r="CV295"/>
      <c r="CW295"/>
      <c r="CX295"/>
      <c r="CY295"/>
      <c r="CZ295"/>
      <c r="DA295"/>
    </row>
    <row r="296" spans="1:105" x14ac:dyDescent="0.25">
      <c r="A296" s="128"/>
      <c r="B296" s="109"/>
      <c r="C296" s="109"/>
      <c r="D296" s="129"/>
      <c r="E296" s="42"/>
      <c r="P296" s="119"/>
      <c r="S296" s="119"/>
      <c r="T296" s="119"/>
      <c r="U296" s="119"/>
      <c r="V296" s="119"/>
      <c r="W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K296" s="32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S296"/>
      <c r="CT296"/>
      <c r="CU296"/>
      <c r="CV296"/>
      <c r="CW296"/>
      <c r="CX296"/>
      <c r="CY296"/>
      <c r="CZ296"/>
      <c r="DA296"/>
    </row>
    <row r="297" spans="1:105" x14ac:dyDescent="0.25">
      <c r="A297" s="128"/>
      <c r="B297" s="109"/>
      <c r="C297" s="109"/>
      <c r="D297" s="129"/>
      <c r="E297" s="42"/>
      <c r="P297" s="119"/>
      <c r="S297" s="119"/>
      <c r="T297" s="119"/>
      <c r="U297" s="119"/>
      <c r="V297" s="119"/>
      <c r="W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K297" s="32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S297"/>
      <c r="CT297"/>
      <c r="CU297"/>
      <c r="CV297"/>
      <c r="CW297"/>
      <c r="CX297"/>
      <c r="CY297"/>
      <c r="CZ297"/>
      <c r="DA297"/>
    </row>
    <row r="298" spans="1:105" x14ac:dyDescent="0.25">
      <c r="A298" s="128"/>
      <c r="B298" s="109"/>
      <c r="C298" s="109"/>
      <c r="D298" s="129"/>
      <c r="E298" s="42"/>
      <c r="P298" s="119"/>
      <c r="S298" s="119"/>
      <c r="T298" s="119"/>
      <c r="U298" s="119"/>
      <c r="V298" s="119"/>
      <c r="W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K298" s="32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S298"/>
      <c r="CT298"/>
      <c r="CU298"/>
      <c r="CV298"/>
      <c r="CW298"/>
      <c r="CX298"/>
      <c r="CY298"/>
      <c r="CZ298"/>
      <c r="DA298"/>
    </row>
    <row r="299" spans="1:105" x14ac:dyDescent="0.25">
      <c r="A299" s="128"/>
      <c r="B299" s="109"/>
      <c r="C299" s="109"/>
      <c r="D299" s="129"/>
      <c r="E299" s="42"/>
      <c r="P299" s="119"/>
      <c r="S299" s="119"/>
      <c r="T299" s="119"/>
      <c r="U299" s="119"/>
      <c r="V299" s="119"/>
      <c r="W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K299" s="32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S299"/>
      <c r="CT299"/>
      <c r="CU299"/>
      <c r="CV299"/>
      <c r="CW299"/>
      <c r="CX299"/>
      <c r="CY299"/>
      <c r="CZ299"/>
      <c r="DA299"/>
    </row>
    <row r="300" spans="1:105" x14ac:dyDescent="0.25">
      <c r="A300" s="128"/>
      <c r="B300" s="109"/>
      <c r="C300" s="109"/>
      <c r="D300" s="129"/>
      <c r="E300" s="42"/>
      <c r="P300" s="119"/>
      <c r="S300" s="119"/>
      <c r="T300" s="119"/>
      <c r="U300" s="119"/>
      <c r="V300" s="119"/>
      <c r="W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K300" s="32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S300"/>
      <c r="CT300"/>
      <c r="CU300"/>
      <c r="CV300"/>
      <c r="CW300"/>
      <c r="CX300"/>
      <c r="CY300"/>
      <c r="CZ300"/>
      <c r="DA300"/>
    </row>
    <row r="301" spans="1:105" x14ac:dyDescent="0.25">
      <c r="A301" s="128"/>
      <c r="B301" s="109"/>
      <c r="C301" s="109"/>
      <c r="D301" s="129"/>
      <c r="E301" s="42"/>
      <c r="P301" s="119"/>
      <c r="S301" s="119"/>
      <c r="T301" s="119"/>
      <c r="U301" s="119"/>
      <c r="V301" s="119"/>
      <c r="W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K301" s="32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S301"/>
      <c r="CT301"/>
      <c r="CU301"/>
      <c r="CV301"/>
      <c r="CW301"/>
      <c r="CX301"/>
      <c r="CY301"/>
      <c r="CZ301"/>
      <c r="DA301"/>
    </row>
    <row r="302" spans="1:105" x14ac:dyDescent="0.25">
      <c r="A302" s="128"/>
      <c r="B302" s="109"/>
      <c r="C302" s="109"/>
      <c r="D302" s="129"/>
      <c r="E302" s="42"/>
      <c r="P302" s="119"/>
      <c r="S302" s="119"/>
      <c r="T302" s="119"/>
      <c r="U302" s="119"/>
      <c r="V302" s="119"/>
      <c r="W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K302" s="3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S302"/>
      <c r="CT302"/>
      <c r="CU302"/>
      <c r="CV302"/>
      <c r="CW302"/>
      <c r="CX302"/>
      <c r="CY302"/>
      <c r="CZ302"/>
      <c r="DA302"/>
    </row>
    <row r="303" spans="1:105" x14ac:dyDescent="0.25">
      <c r="A303" s="128"/>
      <c r="B303" s="109"/>
      <c r="C303" s="109"/>
      <c r="D303" s="129"/>
      <c r="E303" s="42"/>
      <c r="P303" s="119"/>
      <c r="S303" s="119"/>
      <c r="T303" s="119"/>
      <c r="U303" s="119"/>
      <c r="V303" s="119"/>
      <c r="W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K303" s="32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S303"/>
      <c r="CT303"/>
      <c r="CU303"/>
      <c r="CV303"/>
      <c r="CW303"/>
      <c r="CX303"/>
      <c r="CY303"/>
      <c r="CZ303"/>
      <c r="DA303"/>
    </row>
    <row r="304" spans="1:105" x14ac:dyDescent="0.25">
      <c r="A304" s="128"/>
      <c r="B304" s="109"/>
      <c r="C304" s="109"/>
      <c r="D304" s="129"/>
      <c r="E304" s="42"/>
      <c r="P304" s="119"/>
      <c r="S304" s="119"/>
      <c r="T304" s="119"/>
      <c r="U304" s="119"/>
      <c r="V304" s="119"/>
      <c r="W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K304" s="32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S304"/>
      <c r="CT304"/>
      <c r="CU304"/>
      <c r="CV304"/>
      <c r="CW304"/>
      <c r="CX304"/>
      <c r="CY304"/>
      <c r="CZ304"/>
      <c r="DA304"/>
    </row>
    <row r="305" spans="1:105" x14ac:dyDescent="0.25">
      <c r="A305" s="128"/>
      <c r="B305" s="109"/>
      <c r="C305" s="109"/>
      <c r="D305" s="129"/>
      <c r="E305" s="42"/>
      <c r="P305" s="119"/>
      <c r="S305" s="119"/>
      <c r="T305" s="119"/>
      <c r="U305" s="119"/>
      <c r="V305" s="119"/>
      <c r="W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K305" s="32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S305"/>
      <c r="CT305"/>
      <c r="CU305"/>
      <c r="CV305"/>
      <c r="CW305"/>
      <c r="CX305"/>
      <c r="CY305"/>
      <c r="CZ305"/>
      <c r="DA305"/>
    </row>
    <row r="306" spans="1:105" x14ac:dyDescent="0.25">
      <c r="A306" s="128"/>
      <c r="B306" s="109"/>
      <c r="C306" s="109"/>
      <c r="D306" s="129"/>
      <c r="E306" s="42"/>
      <c r="P306" s="119"/>
      <c r="S306" s="119"/>
      <c r="T306" s="119"/>
      <c r="U306" s="119"/>
      <c r="V306" s="119"/>
      <c r="W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K306" s="32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S306"/>
      <c r="CT306"/>
      <c r="CU306"/>
      <c r="CV306"/>
      <c r="CW306"/>
      <c r="CX306"/>
      <c r="CY306"/>
      <c r="CZ306"/>
      <c r="DA306"/>
    </row>
    <row r="307" spans="1:105" x14ac:dyDescent="0.25">
      <c r="A307" s="128"/>
      <c r="B307" s="109"/>
      <c r="C307" s="109"/>
      <c r="D307" s="129"/>
      <c r="E307" s="42"/>
      <c r="P307" s="119"/>
      <c r="S307" s="119"/>
      <c r="T307" s="119"/>
      <c r="U307" s="119"/>
      <c r="V307" s="119"/>
      <c r="W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K307" s="32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S307"/>
      <c r="CT307"/>
      <c r="CU307"/>
      <c r="CV307"/>
      <c r="CW307"/>
      <c r="CX307"/>
      <c r="CY307"/>
      <c r="CZ307"/>
      <c r="DA307"/>
    </row>
    <row r="308" spans="1:105" x14ac:dyDescent="0.25">
      <c r="A308" s="128"/>
      <c r="B308" s="109"/>
      <c r="C308" s="109"/>
      <c r="D308" s="129"/>
      <c r="E308" s="42"/>
      <c r="P308" s="119"/>
      <c r="S308" s="119"/>
      <c r="T308" s="119"/>
      <c r="U308" s="119"/>
      <c r="V308" s="119"/>
      <c r="W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K308" s="32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S308"/>
      <c r="CT308"/>
      <c r="CU308"/>
      <c r="CV308"/>
      <c r="CW308"/>
      <c r="CX308"/>
      <c r="CY308"/>
      <c r="CZ308"/>
      <c r="DA308"/>
    </row>
    <row r="309" spans="1:105" x14ac:dyDescent="0.25">
      <c r="A309" s="128"/>
      <c r="B309" s="109"/>
      <c r="C309" s="109"/>
      <c r="D309" s="129"/>
      <c r="E309" s="42"/>
      <c r="P309" s="119"/>
      <c r="S309" s="119"/>
      <c r="T309" s="119"/>
      <c r="U309" s="119"/>
      <c r="V309" s="119"/>
      <c r="W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K309" s="32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S309"/>
      <c r="CT309"/>
      <c r="CU309"/>
      <c r="CV309"/>
      <c r="CW309"/>
      <c r="CX309"/>
      <c r="CY309"/>
      <c r="CZ309"/>
      <c r="DA309"/>
    </row>
    <row r="310" spans="1:105" x14ac:dyDescent="0.25">
      <c r="A310" s="128"/>
      <c r="B310" s="109"/>
      <c r="C310" s="109"/>
      <c r="D310" s="129"/>
      <c r="E310" s="42"/>
      <c r="P310" s="119"/>
      <c r="S310" s="119"/>
      <c r="T310" s="119"/>
      <c r="U310" s="119"/>
      <c r="V310" s="119"/>
      <c r="W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K310" s="32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S310"/>
      <c r="CT310"/>
      <c r="CU310"/>
      <c r="CV310"/>
      <c r="CW310"/>
      <c r="CX310"/>
      <c r="CY310"/>
      <c r="CZ310"/>
      <c r="DA310"/>
    </row>
    <row r="311" spans="1:105" x14ac:dyDescent="0.25">
      <c r="A311" s="128"/>
      <c r="B311" s="109"/>
      <c r="C311" s="109"/>
      <c r="D311" s="129"/>
      <c r="E311" s="42"/>
      <c r="P311" s="119"/>
      <c r="S311" s="119"/>
      <c r="T311" s="119"/>
      <c r="U311" s="119"/>
      <c r="V311" s="119"/>
      <c r="W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K311" s="32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S311"/>
      <c r="CT311"/>
      <c r="CU311"/>
      <c r="CV311"/>
      <c r="CW311"/>
      <c r="CX311"/>
      <c r="CY311"/>
      <c r="CZ311"/>
      <c r="DA311"/>
    </row>
    <row r="312" spans="1:105" x14ac:dyDescent="0.25">
      <c r="A312" s="128"/>
      <c r="B312" s="109"/>
      <c r="C312" s="109"/>
      <c r="D312" s="129"/>
      <c r="E312" s="42"/>
      <c r="P312" s="119"/>
      <c r="S312" s="119"/>
      <c r="T312" s="119"/>
      <c r="U312" s="119"/>
      <c r="V312" s="119"/>
      <c r="W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K312" s="3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S312"/>
      <c r="CT312"/>
      <c r="CU312"/>
      <c r="CV312"/>
      <c r="CW312"/>
      <c r="CX312"/>
      <c r="CY312"/>
      <c r="CZ312"/>
      <c r="DA312"/>
    </row>
    <row r="313" spans="1:105" x14ac:dyDescent="0.25">
      <c r="A313" s="128"/>
      <c r="B313" s="109"/>
      <c r="C313" s="109"/>
      <c r="D313" s="129"/>
      <c r="E313" s="42"/>
      <c r="P313" s="119"/>
      <c r="S313" s="119"/>
      <c r="T313" s="119"/>
      <c r="U313" s="119"/>
      <c r="V313" s="119"/>
      <c r="W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K313" s="32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S313"/>
      <c r="CT313"/>
      <c r="CU313"/>
      <c r="CV313"/>
      <c r="CW313"/>
      <c r="CX313"/>
      <c r="CY313"/>
      <c r="CZ313"/>
      <c r="DA313"/>
    </row>
    <row r="314" spans="1:105" x14ac:dyDescent="0.25">
      <c r="A314" s="128"/>
      <c r="B314" s="109"/>
      <c r="C314" s="109"/>
      <c r="D314" s="129"/>
      <c r="E314" s="42"/>
      <c r="P314" s="119"/>
      <c r="S314" s="119"/>
      <c r="T314" s="119"/>
      <c r="U314" s="119"/>
      <c r="V314" s="119"/>
      <c r="W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K314" s="32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S314"/>
      <c r="CT314"/>
      <c r="CU314"/>
      <c r="CV314"/>
      <c r="CW314"/>
      <c r="CX314"/>
      <c r="CY314"/>
      <c r="CZ314"/>
      <c r="DA314"/>
    </row>
    <row r="315" spans="1:105" x14ac:dyDescent="0.25">
      <c r="A315" s="128"/>
      <c r="B315" s="109"/>
      <c r="C315" s="109"/>
      <c r="D315" s="129"/>
      <c r="E315" s="42"/>
      <c r="P315" s="119"/>
      <c r="S315" s="119"/>
      <c r="T315" s="119"/>
      <c r="U315" s="119"/>
      <c r="V315" s="119"/>
      <c r="W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K315" s="32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S315"/>
      <c r="CT315"/>
      <c r="CU315"/>
      <c r="CV315"/>
      <c r="CW315"/>
      <c r="CX315"/>
      <c r="CY315"/>
      <c r="CZ315"/>
      <c r="DA315"/>
    </row>
    <row r="316" spans="1:105" x14ac:dyDescent="0.25">
      <c r="A316" s="128"/>
      <c r="B316" s="109"/>
      <c r="C316" s="109"/>
      <c r="D316" s="129"/>
      <c r="E316" s="42"/>
      <c r="P316" s="119"/>
      <c r="S316" s="119"/>
      <c r="T316" s="119"/>
      <c r="U316" s="119"/>
      <c r="V316" s="119"/>
      <c r="W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K316" s="32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S316"/>
      <c r="CT316"/>
      <c r="CU316"/>
      <c r="CV316"/>
      <c r="CW316"/>
      <c r="CX316"/>
      <c r="CY316"/>
      <c r="CZ316"/>
      <c r="DA316"/>
    </row>
    <row r="317" spans="1:105" x14ac:dyDescent="0.25">
      <c r="A317" s="128"/>
      <c r="B317" s="109"/>
      <c r="C317" s="109"/>
      <c r="D317" s="129"/>
      <c r="E317" s="42"/>
      <c r="P317" s="119"/>
      <c r="S317" s="119"/>
      <c r="T317" s="119"/>
      <c r="U317" s="119"/>
      <c r="V317" s="119"/>
      <c r="W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K317" s="32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S317"/>
      <c r="CT317"/>
      <c r="CU317"/>
      <c r="CV317"/>
      <c r="CW317"/>
      <c r="CX317"/>
      <c r="CY317"/>
      <c r="CZ317"/>
      <c r="DA317"/>
    </row>
    <row r="318" spans="1:105" x14ac:dyDescent="0.25">
      <c r="A318" s="128"/>
      <c r="B318" s="109"/>
      <c r="C318" s="109"/>
      <c r="D318" s="129"/>
      <c r="E318" s="42"/>
      <c r="P318" s="119"/>
      <c r="S318" s="119"/>
      <c r="T318" s="119"/>
      <c r="U318" s="119"/>
      <c r="V318" s="119"/>
      <c r="W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K318" s="32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S318"/>
      <c r="CT318"/>
      <c r="CU318"/>
      <c r="CV318"/>
      <c r="CW318"/>
      <c r="CX318"/>
      <c r="CY318"/>
      <c r="CZ318"/>
      <c r="DA318"/>
    </row>
    <row r="319" spans="1:105" x14ac:dyDescent="0.25">
      <c r="A319" s="128"/>
      <c r="B319" s="109"/>
      <c r="C319" s="109"/>
      <c r="D319" s="129"/>
      <c r="E319" s="42"/>
      <c r="P319" s="119"/>
      <c r="S319" s="119"/>
      <c r="T319" s="119"/>
      <c r="U319" s="119"/>
      <c r="V319" s="119"/>
      <c r="W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K319" s="32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S319"/>
      <c r="CT319"/>
      <c r="CU319"/>
      <c r="CV319"/>
      <c r="CW319"/>
      <c r="CX319"/>
      <c r="CY319"/>
      <c r="CZ319"/>
      <c r="DA319"/>
    </row>
    <row r="320" spans="1:105" x14ac:dyDescent="0.25">
      <c r="A320" s="128"/>
      <c r="B320" s="109"/>
      <c r="C320" s="109"/>
      <c r="D320" s="129"/>
      <c r="E320" s="42"/>
      <c r="P320" s="119"/>
      <c r="S320" s="119"/>
      <c r="T320" s="119"/>
      <c r="U320" s="119"/>
      <c r="V320" s="119"/>
      <c r="W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K320" s="32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S320"/>
      <c r="CT320"/>
      <c r="CU320"/>
      <c r="CV320"/>
      <c r="CW320"/>
      <c r="CX320"/>
      <c r="CY320"/>
      <c r="CZ320"/>
      <c r="DA320"/>
    </row>
    <row r="321" spans="1:105" x14ac:dyDescent="0.25">
      <c r="A321" s="128"/>
      <c r="B321" s="109"/>
      <c r="C321" s="109"/>
      <c r="D321" s="129"/>
      <c r="E321" s="42"/>
      <c r="P321" s="119"/>
      <c r="S321" s="119"/>
      <c r="T321" s="119"/>
      <c r="U321" s="119"/>
      <c r="V321" s="119"/>
      <c r="W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K321" s="32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S321"/>
      <c r="CT321"/>
      <c r="CU321"/>
      <c r="CV321"/>
      <c r="CW321"/>
      <c r="CX321"/>
      <c r="CY321"/>
      <c r="CZ321"/>
      <c r="DA321"/>
    </row>
    <row r="322" spans="1:105" x14ac:dyDescent="0.25">
      <c r="A322" s="128"/>
      <c r="B322" s="109"/>
      <c r="C322" s="109"/>
      <c r="D322" s="129"/>
      <c r="E322" s="42"/>
      <c r="P322" s="119"/>
      <c r="S322" s="119"/>
      <c r="T322" s="119"/>
      <c r="U322" s="119"/>
      <c r="V322" s="119"/>
      <c r="W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K322" s="3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S322"/>
      <c r="CT322"/>
      <c r="CU322"/>
      <c r="CV322"/>
      <c r="CW322"/>
      <c r="CX322"/>
      <c r="CY322"/>
      <c r="CZ322"/>
      <c r="DA322"/>
    </row>
    <row r="323" spans="1:105" x14ac:dyDescent="0.25">
      <c r="A323" s="128"/>
      <c r="B323" s="109"/>
      <c r="C323" s="109"/>
      <c r="D323" s="129"/>
      <c r="E323" s="42"/>
      <c r="P323" s="119"/>
      <c r="S323" s="119"/>
      <c r="T323" s="119"/>
      <c r="U323" s="119"/>
      <c r="V323" s="119"/>
      <c r="W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K323" s="32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S323"/>
      <c r="CT323"/>
      <c r="CU323"/>
      <c r="CV323"/>
      <c r="CW323"/>
      <c r="CX323"/>
      <c r="CY323"/>
      <c r="CZ323"/>
      <c r="DA323"/>
    </row>
    <row r="324" spans="1:105" x14ac:dyDescent="0.25">
      <c r="A324" s="128"/>
      <c r="B324" s="109"/>
      <c r="C324" s="109"/>
      <c r="D324" s="129"/>
      <c r="E324" s="42"/>
      <c r="P324" s="119"/>
      <c r="S324" s="119"/>
      <c r="T324" s="119"/>
      <c r="U324" s="119"/>
      <c r="V324" s="119"/>
      <c r="W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K324" s="32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S324"/>
      <c r="CT324"/>
      <c r="CU324"/>
      <c r="CV324"/>
      <c r="CW324"/>
      <c r="CX324"/>
      <c r="CY324"/>
      <c r="CZ324"/>
      <c r="DA324"/>
    </row>
    <row r="325" spans="1:105" x14ac:dyDescent="0.25">
      <c r="A325" s="128"/>
      <c r="B325" s="109"/>
      <c r="C325" s="109"/>
      <c r="D325" s="129"/>
      <c r="E325" s="42"/>
      <c r="P325" s="119"/>
      <c r="S325" s="119"/>
      <c r="T325" s="119"/>
      <c r="U325" s="119"/>
      <c r="V325" s="119"/>
      <c r="W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K325" s="32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S325"/>
      <c r="CT325"/>
      <c r="CU325"/>
      <c r="CV325"/>
      <c r="CW325"/>
      <c r="CX325"/>
      <c r="CY325"/>
      <c r="CZ325"/>
      <c r="DA325"/>
    </row>
    <row r="326" spans="1:105" x14ac:dyDescent="0.25">
      <c r="A326" s="128"/>
      <c r="B326" s="109"/>
      <c r="C326" s="109"/>
      <c r="D326" s="129"/>
      <c r="E326" s="42"/>
      <c r="P326" s="119"/>
      <c r="S326" s="119"/>
      <c r="T326" s="119"/>
      <c r="U326" s="119"/>
      <c r="V326" s="119"/>
      <c r="W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K326" s="32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S326"/>
      <c r="CT326"/>
      <c r="CU326"/>
      <c r="CV326"/>
      <c r="CW326"/>
      <c r="CX326"/>
      <c r="CY326"/>
      <c r="CZ326"/>
      <c r="DA326"/>
    </row>
    <row r="327" spans="1:105" x14ac:dyDescent="0.25">
      <c r="A327" s="128"/>
      <c r="B327" s="109"/>
      <c r="C327" s="109"/>
      <c r="D327" s="129"/>
      <c r="E327" s="42"/>
      <c r="P327" s="119"/>
      <c r="S327" s="119"/>
      <c r="T327" s="119"/>
      <c r="U327" s="119"/>
      <c r="V327" s="119"/>
      <c r="W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K327" s="32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S327"/>
      <c r="CT327"/>
      <c r="CU327"/>
      <c r="CV327"/>
      <c r="CW327"/>
      <c r="CX327"/>
      <c r="CY327"/>
      <c r="CZ327"/>
      <c r="DA327"/>
    </row>
    <row r="328" spans="1:105" x14ac:dyDescent="0.25">
      <c r="A328" s="128"/>
      <c r="B328" s="109"/>
      <c r="C328" s="109"/>
      <c r="D328" s="129"/>
      <c r="E328" s="42"/>
      <c r="P328" s="119"/>
      <c r="S328" s="119"/>
      <c r="T328" s="119"/>
      <c r="U328" s="119"/>
      <c r="V328" s="119"/>
      <c r="W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K328" s="32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S328"/>
      <c r="CT328"/>
      <c r="CU328"/>
      <c r="CV328"/>
      <c r="CW328"/>
      <c r="CX328"/>
      <c r="CY328"/>
      <c r="CZ328"/>
      <c r="DA328"/>
    </row>
    <row r="329" spans="1:105" x14ac:dyDescent="0.25">
      <c r="A329" s="128"/>
      <c r="B329" s="109"/>
      <c r="C329" s="109"/>
      <c r="D329" s="129"/>
      <c r="E329" s="42"/>
      <c r="P329" s="119"/>
      <c r="S329" s="119"/>
      <c r="T329" s="119"/>
      <c r="U329" s="119"/>
      <c r="V329" s="119"/>
      <c r="W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K329" s="32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S329"/>
      <c r="CT329"/>
      <c r="CU329"/>
      <c r="CV329"/>
      <c r="CW329"/>
      <c r="CX329"/>
      <c r="CY329"/>
      <c r="CZ329"/>
      <c r="DA329"/>
    </row>
    <row r="330" spans="1:105" x14ac:dyDescent="0.25">
      <c r="A330" s="128"/>
      <c r="B330" s="109"/>
      <c r="C330" s="109"/>
      <c r="D330" s="129"/>
      <c r="E330" s="42"/>
      <c r="P330" s="119"/>
      <c r="S330" s="119"/>
      <c r="T330" s="119"/>
      <c r="U330" s="119"/>
      <c r="V330" s="119"/>
      <c r="W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K330" s="32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S330"/>
      <c r="CT330"/>
      <c r="CU330"/>
      <c r="CV330"/>
      <c r="CW330"/>
      <c r="CX330"/>
      <c r="CY330"/>
      <c r="CZ330"/>
      <c r="DA330"/>
    </row>
    <row r="331" spans="1:105" x14ac:dyDescent="0.25">
      <c r="A331" s="128"/>
      <c r="B331" s="109"/>
      <c r="C331" s="109"/>
      <c r="D331" s="129"/>
      <c r="E331" s="42"/>
      <c r="P331" s="119"/>
      <c r="S331" s="119"/>
      <c r="T331" s="119"/>
      <c r="U331" s="119"/>
      <c r="V331" s="119"/>
      <c r="W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K331" s="32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S331"/>
      <c r="CT331"/>
      <c r="CU331"/>
      <c r="CV331"/>
      <c r="CW331"/>
      <c r="CX331"/>
      <c r="CY331"/>
      <c r="CZ331"/>
      <c r="DA331"/>
    </row>
    <row r="332" spans="1:105" x14ac:dyDescent="0.25">
      <c r="A332" s="128"/>
      <c r="B332" s="109"/>
      <c r="C332" s="109"/>
      <c r="D332" s="129"/>
      <c r="E332" s="42"/>
      <c r="P332" s="119"/>
      <c r="S332" s="119"/>
      <c r="T332" s="119"/>
      <c r="U332" s="119"/>
      <c r="V332" s="119"/>
      <c r="W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K332" s="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S332"/>
      <c r="CT332"/>
      <c r="CU332"/>
      <c r="CV332"/>
      <c r="CW332"/>
      <c r="CX332"/>
      <c r="CY332"/>
      <c r="CZ332"/>
      <c r="DA332"/>
    </row>
    <row r="333" spans="1:105" x14ac:dyDescent="0.25">
      <c r="A333" s="128"/>
      <c r="B333" s="109"/>
      <c r="C333" s="109"/>
      <c r="D333" s="129"/>
      <c r="E333" s="42"/>
      <c r="P333" s="119"/>
      <c r="S333" s="119"/>
      <c r="T333" s="119"/>
      <c r="U333" s="119"/>
      <c r="V333" s="119"/>
      <c r="W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K333" s="32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S333"/>
      <c r="CT333"/>
      <c r="CU333"/>
      <c r="CV333"/>
      <c r="CW333"/>
      <c r="CX333"/>
      <c r="CY333"/>
      <c r="CZ333"/>
      <c r="DA333"/>
    </row>
    <row r="334" spans="1:105" x14ac:dyDescent="0.25">
      <c r="A334" s="128"/>
      <c r="B334" s="109"/>
      <c r="C334" s="109"/>
      <c r="D334" s="129"/>
      <c r="E334" s="42"/>
      <c r="P334" s="119"/>
      <c r="S334" s="119"/>
      <c r="T334" s="119"/>
      <c r="U334" s="119"/>
      <c r="V334" s="119"/>
      <c r="W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K334" s="32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S334"/>
      <c r="CT334"/>
      <c r="CU334"/>
      <c r="CV334"/>
      <c r="CW334"/>
      <c r="CX334"/>
      <c r="CY334"/>
      <c r="CZ334"/>
      <c r="DA334"/>
    </row>
    <row r="335" spans="1:105" x14ac:dyDescent="0.25">
      <c r="A335" s="128"/>
      <c r="B335" s="109"/>
      <c r="C335" s="109"/>
      <c r="D335" s="129"/>
      <c r="E335" s="42"/>
      <c r="P335" s="119"/>
      <c r="S335" s="119"/>
      <c r="T335" s="119"/>
      <c r="U335" s="119"/>
      <c r="V335" s="119"/>
      <c r="W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K335" s="32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S335"/>
      <c r="CT335"/>
      <c r="CU335"/>
      <c r="CV335"/>
      <c r="CW335"/>
      <c r="CX335"/>
      <c r="CY335"/>
      <c r="CZ335"/>
      <c r="DA335"/>
    </row>
    <row r="336" spans="1:105" x14ac:dyDescent="0.25">
      <c r="A336" s="128"/>
      <c r="B336" s="109"/>
      <c r="C336" s="109"/>
      <c r="D336" s="129"/>
      <c r="E336" s="42"/>
      <c r="P336" s="119"/>
      <c r="S336" s="119"/>
      <c r="T336" s="119"/>
      <c r="U336" s="119"/>
      <c r="V336" s="119"/>
      <c r="W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K336" s="32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S336"/>
      <c r="CT336"/>
      <c r="CU336"/>
      <c r="CV336"/>
      <c r="CW336"/>
      <c r="CX336"/>
      <c r="CY336"/>
      <c r="CZ336"/>
      <c r="DA336"/>
    </row>
    <row r="337" spans="1:105" x14ac:dyDescent="0.25">
      <c r="A337" s="128"/>
      <c r="B337" s="109"/>
      <c r="C337" s="109"/>
      <c r="D337" s="129"/>
      <c r="E337" s="42"/>
      <c r="P337" s="119"/>
      <c r="S337" s="119"/>
      <c r="T337" s="119"/>
      <c r="U337" s="119"/>
      <c r="V337" s="119"/>
      <c r="W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K337" s="32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S337"/>
      <c r="CT337"/>
      <c r="CU337"/>
      <c r="CV337"/>
      <c r="CW337"/>
      <c r="CX337"/>
      <c r="CY337"/>
      <c r="CZ337"/>
      <c r="DA337"/>
    </row>
    <row r="338" spans="1:105" x14ac:dyDescent="0.25">
      <c r="A338" s="128"/>
      <c r="B338" s="109"/>
      <c r="C338" s="109"/>
      <c r="D338" s="129"/>
      <c r="E338" s="42"/>
      <c r="P338" s="119"/>
      <c r="S338" s="119"/>
      <c r="T338" s="119"/>
      <c r="U338" s="119"/>
      <c r="V338" s="119"/>
      <c r="W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K338" s="32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S338"/>
      <c r="CT338"/>
      <c r="CU338"/>
      <c r="CV338"/>
      <c r="CW338"/>
      <c r="CX338"/>
      <c r="CY338"/>
      <c r="CZ338"/>
      <c r="DA338"/>
    </row>
    <row r="339" spans="1:105" x14ac:dyDescent="0.25">
      <c r="A339" s="128"/>
      <c r="B339" s="109"/>
      <c r="C339" s="109"/>
      <c r="D339" s="129"/>
      <c r="E339" s="42"/>
      <c r="P339" s="119"/>
      <c r="S339" s="119"/>
      <c r="T339" s="119"/>
      <c r="U339" s="119"/>
      <c r="V339" s="119"/>
      <c r="W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K339" s="32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S339"/>
      <c r="CT339"/>
      <c r="CU339"/>
      <c r="CV339"/>
      <c r="CW339"/>
      <c r="CX339"/>
      <c r="CY339"/>
      <c r="CZ339"/>
      <c r="DA339"/>
    </row>
    <row r="340" spans="1:105" x14ac:dyDescent="0.25">
      <c r="A340" s="128"/>
      <c r="B340" s="109"/>
      <c r="C340" s="109"/>
      <c r="D340" s="129"/>
      <c r="E340" s="42"/>
      <c r="P340" s="119"/>
      <c r="S340" s="119"/>
      <c r="T340" s="119"/>
      <c r="U340" s="119"/>
      <c r="V340" s="119"/>
      <c r="W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K340" s="32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S340"/>
      <c r="CT340"/>
      <c r="CU340"/>
      <c r="CV340"/>
      <c r="CW340"/>
      <c r="CX340"/>
      <c r="CY340"/>
      <c r="CZ340"/>
      <c r="DA340"/>
    </row>
    <row r="341" spans="1:105" x14ac:dyDescent="0.25">
      <c r="A341" s="128"/>
      <c r="B341" s="109"/>
      <c r="C341" s="109"/>
      <c r="D341" s="129"/>
      <c r="E341" s="42"/>
      <c r="P341" s="119"/>
      <c r="S341" s="119"/>
      <c r="T341" s="119"/>
      <c r="U341" s="119"/>
      <c r="V341" s="119"/>
      <c r="W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K341" s="32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S341"/>
      <c r="CT341"/>
      <c r="CU341"/>
      <c r="CV341"/>
      <c r="CW341"/>
      <c r="CX341"/>
      <c r="CY341"/>
      <c r="CZ341"/>
      <c r="DA341"/>
    </row>
    <row r="342" spans="1:105" x14ac:dyDescent="0.25">
      <c r="A342" s="128"/>
      <c r="B342" s="109"/>
      <c r="C342" s="109"/>
      <c r="D342" s="129"/>
      <c r="E342" s="42"/>
      <c r="P342" s="119"/>
      <c r="S342" s="119"/>
      <c r="T342" s="119"/>
      <c r="U342" s="119"/>
      <c r="V342" s="119"/>
      <c r="W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K342" s="3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S342"/>
      <c r="CT342"/>
      <c r="CU342"/>
      <c r="CV342"/>
      <c r="CW342"/>
      <c r="CX342"/>
      <c r="CY342"/>
      <c r="CZ342"/>
      <c r="DA342"/>
    </row>
    <row r="343" spans="1:105" x14ac:dyDescent="0.25">
      <c r="A343" s="128"/>
      <c r="B343" s="109"/>
      <c r="C343" s="109"/>
      <c r="D343" s="129"/>
      <c r="E343" s="42"/>
      <c r="P343" s="119"/>
      <c r="S343" s="119"/>
      <c r="T343" s="119"/>
      <c r="U343" s="119"/>
      <c r="V343" s="119"/>
      <c r="W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K343" s="32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S343"/>
      <c r="CT343"/>
      <c r="CU343"/>
      <c r="CV343"/>
      <c r="CW343"/>
      <c r="CX343"/>
      <c r="CY343"/>
      <c r="CZ343"/>
      <c r="DA343"/>
    </row>
    <row r="344" spans="1:105" x14ac:dyDescent="0.25">
      <c r="A344" s="128"/>
      <c r="B344" s="109"/>
      <c r="C344" s="109"/>
      <c r="D344" s="129"/>
      <c r="E344" s="42"/>
      <c r="P344" s="119"/>
      <c r="S344" s="119"/>
      <c r="T344" s="119"/>
      <c r="U344" s="119"/>
      <c r="V344" s="119"/>
      <c r="W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K344" s="32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S344"/>
      <c r="CT344"/>
      <c r="CU344"/>
      <c r="CV344"/>
      <c r="CW344"/>
      <c r="CX344"/>
      <c r="CY344"/>
      <c r="CZ344"/>
      <c r="DA344"/>
    </row>
    <row r="345" spans="1:105" x14ac:dyDescent="0.25">
      <c r="A345" s="128"/>
      <c r="B345" s="109"/>
      <c r="C345" s="109"/>
      <c r="D345" s="129"/>
      <c r="E345" s="42"/>
      <c r="P345" s="119"/>
      <c r="S345" s="119"/>
      <c r="T345" s="119"/>
      <c r="U345" s="119"/>
      <c r="V345" s="119"/>
      <c r="W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K345" s="32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S345"/>
      <c r="CT345"/>
      <c r="CU345"/>
      <c r="CV345"/>
      <c r="CW345"/>
      <c r="CX345"/>
      <c r="CY345"/>
      <c r="CZ345"/>
      <c r="DA345"/>
    </row>
    <row r="346" spans="1:105" x14ac:dyDescent="0.25">
      <c r="A346" s="128"/>
      <c r="B346" s="109"/>
      <c r="C346" s="109"/>
      <c r="D346" s="129"/>
      <c r="E346" s="42"/>
      <c r="P346" s="119"/>
      <c r="S346" s="119"/>
      <c r="T346" s="119"/>
      <c r="U346" s="119"/>
      <c r="V346" s="119"/>
      <c r="W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K346" s="32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S346"/>
      <c r="CT346"/>
      <c r="CU346"/>
      <c r="CV346"/>
      <c r="CW346"/>
      <c r="CX346"/>
      <c r="CY346"/>
      <c r="CZ346"/>
      <c r="DA346"/>
    </row>
    <row r="347" spans="1:105" x14ac:dyDescent="0.25">
      <c r="A347" s="128"/>
      <c r="B347" s="109"/>
      <c r="C347" s="109"/>
      <c r="D347" s="129"/>
      <c r="E347" s="42"/>
      <c r="P347" s="119"/>
      <c r="S347" s="119"/>
      <c r="T347" s="119"/>
      <c r="U347" s="119"/>
      <c r="V347" s="119"/>
      <c r="W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K347" s="32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S347"/>
      <c r="CT347"/>
      <c r="CU347"/>
      <c r="CV347"/>
      <c r="CW347"/>
      <c r="CX347"/>
      <c r="CY347"/>
      <c r="CZ347"/>
      <c r="DA347"/>
    </row>
    <row r="348" spans="1:105" x14ac:dyDescent="0.25">
      <c r="A348" s="128"/>
      <c r="B348" s="109"/>
      <c r="C348" s="109"/>
      <c r="D348" s="129"/>
      <c r="E348" s="42"/>
      <c r="P348" s="119"/>
      <c r="S348" s="119"/>
      <c r="T348" s="119"/>
      <c r="U348" s="119"/>
      <c r="V348" s="119"/>
      <c r="W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K348" s="32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S348"/>
      <c r="CT348"/>
      <c r="CU348"/>
      <c r="CV348"/>
      <c r="CW348"/>
      <c r="CX348"/>
      <c r="CY348"/>
      <c r="CZ348"/>
      <c r="DA348"/>
    </row>
    <row r="349" spans="1:105" x14ac:dyDescent="0.25">
      <c r="A349" s="128"/>
      <c r="B349" s="109"/>
      <c r="C349" s="109"/>
      <c r="D349" s="129"/>
      <c r="E349" s="42"/>
      <c r="P349" s="119"/>
      <c r="S349" s="119"/>
      <c r="T349" s="119"/>
      <c r="U349" s="119"/>
      <c r="V349" s="119"/>
      <c r="W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K349" s="32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S349"/>
      <c r="CT349"/>
      <c r="CU349"/>
      <c r="CV349"/>
      <c r="CW349"/>
      <c r="CX349"/>
      <c r="CY349"/>
      <c r="CZ349"/>
      <c r="DA349"/>
    </row>
    <row r="350" spans="1:105" x14ac:dyDescent="0.25">
      <c r="A350" s="128"/>
      <c r="B350" s="109"/>
      <c r="C350" s="109"/>
      <c r="D350" s="129"/>
      <c r="E350" s="42"/>
      <c r="P350" s="119"/>
      <c r="S350" s="119"/>
      <c r="T350" s="119"/>
      <c r="U350" s="119"/>
      <c r="V350" s="119"/>
      <c r="W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K350" s="32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S350"/>
      <c r="CT350"/>
      <c r="CU350"/>
      <c r="CV350"/>
      <c r="CW350"/>
      <c r="CX350"/>
      <c r="CY350"/>
      <c r="CZ350"/>
      <c r="DA350"/>
    </row>
    <row r="351" spans="1:105" x14ac:dyDescent="0.25">
      <c r="A351" s="128"/>
      <c r="B351" s="109"/>
      <c r="C351" s="109"/>
      <c r="D351" s="129"/>
      <c r="E351" s="42"/>
      <c r="P351" s="119"/>
      <c r="S351" s="119"/>
      <c r="T351" s="119"/>
      <c r="U351" s="119"/>
      <c r="V351" s="119"/>
      <c r="W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K351" s="32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S351"/>
      <c r="CT351"/>
      <c r="CU351"/>
      <c r="CV351"/>
      <c r="CW351"/>
      <c r="CX351"/>
      <c r="CY351"/>
      <c r="CZ351"/>
      <c r="DA351"/>
    </row>
    <row r="352" spans="1:105" x14ac:dyDescent="0.25">
      <c r="A352" s="128"/>
      <c r="B352" s="109"/>
      <c r="C352" s="109"/>
      <c r="D352" s="129"/>
      <c r="E352" s="42"/>
      <c r="P352" s="119"/>
      <c r="S352" s="119"/>
      <c r="T352" s="119"/>
      <c r="U352" s="119"/>
      <c r="V352" s="119"/>
      <c r="W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K352" s="3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S352"/>
      <c r="CT352"/>
      <c r="CU352"/>
      <c r="CV352"/>
      <c r="CW352"/>
      <c r="CX352"/>
      <c r="CY352"/>
      <c r="CZ352"/>
      <c r="DA352"/>
    </row>
    <row r="353" spans="1:105" x14ac:dyDescent="0.25">
      <c r="A353" s="128"/>
      <c r="B353" s="109"/>
      <c r="C353" s="109"/>
      <c r="D353" s="129"/>
      <c r="E353" s="42"/>
      <c r="P353" s="119"/>
      <c r="S353" s="119"/>
      <c r="T353" s="119"/>
      <c r="U353" s="119"/>
      <c r="V353" s="119"/>
      <c r="W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K353" s="32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S353"/>
      <c r="CT353"/>
      <c r="CU353"/>
      <c r="CV353"/>
      <c r="CW353"/>
      <c r="CX353"/>
      <c r="CY353"/>
      <c r="CZ353"/>
      <c r="DA353"/>
    </row>
    <row r="354" spans="1:105" x14ac:dyDescent="0.25">
      <c r="A354" s="128"/>
      <c r="B354" s="109"/>
      <c r="C354" s="109"/>
      <c r="D354" s="129"/>
      <c r="E354" s="42"/>
      <c r="P354" s="119"/>
      <c r="S354" s="119"/>
      <c r="T354" s="119"/>
      <c r="U354" s="119"/>
      <c r="V354" s="119"/>
      <c r="W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K354" s="32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S354"/>
      <c r="CT354"/>
      <c r="CU354"/>
      <c r="CV354"/>
      <c r="CW354"/>
      <c r="CX354"/>
      <c r="CY354"/>
      <c r="CZ354"/>
      <c r="DA354"/>
    </row>
    <row r="355" spans="1:105" x14ac:dyDescent="0.25">
      <c r="A355" s="128"/>
      <c r="B355" s="109"/>
      <c r="C355" s="109"/>
      <c r="D355" s="129"/>
      <c r="E355" s="42"/>
      <c r="P355" s="119"/>
      <c r="S355" s="119"/>
      <c r="T355" s="119"/>
      <c r="U355" s="119"/>
      <c r="V355" s="119"/>
      <c r="W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K355" s="32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S355"/>
      <c r="CT355"/>
      <c r="CU355"/>
      <c r="CV355"/>
      <c r="CW355"/>
      <c r="CX355"/>
      <c r="CY355"/>
      <c r="CZ355"/>
      <c r="DA355"/>
    </row>
    <row r="356" spans="1:105" x14ac:dyDescent="0.25">
      <c r="A356" s="128"/>
      <c r="B356" s="109"/>
      <c r="C356" s="109"/>
      <c r="D356" s="129"/>
      <c r="E356" s="42"/>
      <c r="P356" s="119"/>
      <c r="S356" s="119"/>
      <c r="T356" s="119"/>
      <c r="U356" s="119"/>
      <c r="V356" s="119"/>
      <c r="W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K356" s="32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S356"/>
      <c r="CT356"/>
      <c r="CU356"/>
      <c r="CV356"/>
      <c r="CW356"/>
      <c r="CX356"/>
      <c r="CY356"/>
      <c r="CZ356"/>
      <c r="DA356"/>
    </row>
    <row r="357" spans="1:105" x14ac:dyDescent="0.25">
      <c r="A357" s="128"/>
      <c r="B357" s="109"/>
      <c r="C357" s="109"/>
      <c r="D357" s="129"/>
      <c r="E357" s="42"/>
      <c r="P357" s="119"/>
      <c r="S357" s="119"/>
      <c r="T357" s="119"/>
      <c r="U357" s="119"/>
      <c r="V357" s="119"/>
      <c r="W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K357" s="32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S357"/>
      <c r="CT357"/>
      <c r="CU357"/>
      <c r="CV357"/>
      <c r="CW357"/>
      <c r="CX357"/>
      <c r="CY357"/>
      <c r="CZ357"/>
      <c r="DA357"/>
    </row>
    <row r="358" spans="1:105" x14ac:dyDescent="0.25">
      <c r="A358" s="128"/>
      <c r="B358" s="109"/>
      <c r="C358" s="109"/>
      <c r="D358" s="129"/>
      <c r="E358" s="42"/>
      <c r="P358" s="119"/>
      <c r="S358" s="119"/>
      <c r="T358" s="119"/>
      <c r="U358" s="119"/>
      <c r="V358" s="119"/>
      <c r="W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K358" s="32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S358"/>
      <c r="CT358"/>
      <c r="CU358"/>
      <c r="CV358"/>
      <c r="CW358"/>
      <c r="CX358"/>
      <c r="CY358"/>
      <c r="CZ358"/>
      <c r="DA358"/>
    </row>
    <row r="359" spans="1:105" x14ac:dyDescent="0.25">
      <c r="A359" s="128"/>
      <c r="B359" s="109"/>
      <c r="C359" s="109"/>
      <c r="D359" s="129"/>
      <c r="E359" s="42"/>
      <c r="P359" s="119"/>
      <c r="S359" s="119"/>
      <c r="T359" s="119"/>
      <c r="U359" s="119"/>
      <c r="V359" s="119"/>
      <c r="W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K359" s="32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S359"/>
      <c r="CT359"/>
      <c r="CU359"/>
      <c r="CV359"/>
      <c r="CW359"/>
      <c r="CX359"/>
      <c r="CY359"/>
      <c r="CZ359"/>
      <c r="DA359"/>
    </row>
    <row r="360" spans="1:105" x14ac:dyDescent="0.25">
      <c r="A360" s="128"/>
      <c r="B360" s="109"/>
      <c r="C360" s="109"/>
      <c r="D360" s="129"/>
      <c r="E360" s="42"/>
      <c r="P360" s="119"/>
      <c r="S360" s="119"/>
      <c r="T360" s="119"/>
      <c r="U360" s="119"/>
      <c r="V360" s="119"/>
      <c r="W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K360" s="32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S360"/>
      <c r="CT360"/>
      <c r="CU360"/>
      <c r="CV360"/>
      <c r="CW360"/>
      <c r="CX360"/>
      <c r="CY360"/>
      <c r="CZ360"/>
      <c r="DA360"/>
    </row>
    <row r="361" spans="1:105" x14ac:dyDescent="0.25">
      <c r="A361" s="128"/>
      <c r="B361" s="109"/>
      <c r="C361" s="109"/>
      <c r="D361" s="129"/>
      <c r="E361" s="42"/>
      <c r="P361" s="119"/>
      <c r="S361" s="119"/>
      <c r="T361" s="119"/>
      <c r="U361" s="119"/>
      <c r="V361" s="119"/>
      <c r="W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K361" s="32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S361"/>
      <c r="CT361"/>
      <c r="CU361"/>
      <c r="CV361"/>
      <c r="CW361"/>
      <c r="CX361"/>
      <c r="CY361"/>
      <c r="CZ361"/>
      <c r="DA361"/>
    </row>
    <row r="362" spans="1:105" x14ac:dyDescent="0.25">
      <c r="A362" s="128"/>
      <c r="B362" s="109"/>
      <c r="C362" s="109"/>
      <c r="D362" s="129"/>
      <c r="E362" s="42"/>
      <c r="P362" s="119"/>
      <c r="S362" s="119"/>
      <c r="T362" s="119"/>
      <c r="U362" s="119"/>
      <c r="V362" s="119"/>
      <c r="W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K362" s="3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S362"/>
      <c r="CT362"/>
      <c r="CU362"/>
      <c r="CV362"/>
      <c r="CW362"/>
      <c r="CX362"/>
      <c r="CY362"/>
      <c r="CZ362"/>
      <c r="DA362"/>
    </row>
    <row r="363" spans="1:105" x14ac:dyDescent="0.25">
      <c r="A363" s="128"/>
      <c r="B363" s="109"/>
      <c r="C363" s="109"/>
      <c r="D363" s="129"/>
      <c r="E363" s="42"/>
      <c r="P363" s="119"/>
      <c r="S363" s="119"/>
      <c r="T363" s="119"/>
      <c r="U363" s="119"/>
      <c r="V363" s="119"/>
      <c r="W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K363" s="32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S363"/>
      <c r="CT363"/>
      <c r="CU363"/>
      <c r="CV363"/>
      <c r="CW363"/>
      <c r="CX363"/>
      <c r="CY363"/>
      <c r="CZ363"/>
      <c r="DA363"/>
    </row>
    <row r="364" spans="1:105" x14ac:dyDescent="0.25">
      <c r="A364" s="128"/>
      <c r="B364" s="109"/>
      <c r="C364" s="109"/>
      <c r="D364" s="129"/>
      <c r="E364" s="42"/>
      <c r="P364" s="119"/>
      <c r="S364" s="119"/>
      <c r="T364" s="119"/>
      <c r="U364" s="119"/>
      <c r="V364" s="119"/>
      <c r="W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K364" s="32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S364"/>
      <c r="CT364"/>
      <c r="CU364"/>
      <c r="CV364"/>
      <c r="CW364"/>
      <c r="CX364"/>
      <c r="CY364"/>
      <c r="CZ364"/>
      <c r="DA364"/>
    </row>
    <row r="365" spans="1:105" x14ac:dyDescent="0.25">
      <c r="A365" s="128"/>
      <c r="B365" s="109"/>
      <c r="C365" s="109"/>
      <c r="D365" s="129"/>
      <c r="E365" s="42"/>
      <c r="P365" s="119"/>
      <c r="S365" s="119"/>
      <c r="T365" s="119"/>
      <c r="U365" s="119"/>
      <c r="V365" s="119"/>
      <c r="W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K365" s="32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S365"/>
      <c r="CT365"/>
      <c r="CU365"/>
      <c r="CV365"/>
      <c r="CW365"/>
      <c r="CX365"/>
      <c r="CY365"/>
      <c r="CZ365"/>
      <c r="DA365"/>
    </row>
    <row r="366" spans="1:105" x14ac:dyDescent="0.25">
      <c r="A366" s="128"/>
      <c r="B366" s="109"/>
      <c r="C366" s="109"/>
      <c r="D366" s="129"/>
      <c r="E366" s="42"/>
      <c r="P366" s="119"/>
      <c r="S366" s="119"/>
      <c r="T366" s="119"/>
      <c r="U366" s="119"/>
      <c r="V366" s="119"/>
      <c r="W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K366" s="32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S366"/>
      <c r="CT366"/>
      <c r="CU366"/>
      <c r="CV366"/>
      <c r="CW366"/>
      <c r="CX366"/>
      <c r="CY366"/>
      <c r="CZ366"/>
      <c r="DA366"/>
    </row>
    <row r="367" spans="1:105" x14ac:dyDescent="0.25">
      <c r="A367" s="128"/>
      <c r="B367" s="109"/>
      <c r="C367" s="109"/>
      <c r="D367" s="129"/>
      <c r="E367" s="42"/>
      <c r="P367" s="119"/>
      <c r="S367" s="119"/>
      <c r="T367" s="119"/>
      <c r="U367" s="119"/>
      <c r="V367" s="119"/>
      <c r="W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K367" s="32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S367"/>
      <c r="CT367"/>
      <c r="CU367"/>
      <c r="CV367"/>
      <c r="CW367"/>
      <c r="CX367"/>
      <c r="CY367"/>
      <c r="CZ367"/>
      <c r="DA367"/>
    </row>
    <row r="368" spans="1:105" x14ac:dyDescent="0.25">
      <c r="A368" s="128"/>
      <c r="B368" s="109"/>
      <c r="C368" s="109"/>
      <c r="D368" s="129"/>
      <c r="E368" s="42"/>
      <c r="P368" s="119"/>
      <c r="S368" s="119"/>
      <c r="T368" s="119"/>
      <c r="U368" s="119"/>
      <c r="V368" s="119"/>
      <c r="W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K368" s="32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S368"/>
      <c r="CT368"/>
      <c r="CU368"/>
      <c r="CV368"/>
      <c r="CW368"/>
      <c r="CX368"/>
      <c r="CY368"/>
      <c r="CZ368"/>
      <c r="DA368"/>
    </row>
    <row r="369" spans="1:105" x14ac:dyDescent="0.25">
      <c r="A369" s="128"/>
      <c r="B369" s="109"/>
      <c r="C369" s="109"/>
      <c r="D369" s="129"/>
      <c r="E369" s="42"/>
      <c r="P369" s="119"/>
      <c r="S369" s="119"/>
      <c r="T369" s="119"/>
      <c r="U369" s="119"/>
      <c r="V369" s="119"/>
      <c r="W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K369" s="32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S369"/>
      <c r="CT369"/>
      <c r="CU369"/>
      <c r="CV369"/>
      <c r="CW369"/>
      <c r="CX369"/>
      <c r="CY369"/>
      <c r="CZ369"/>
      <c r="DA369"/>
    </row>
    <row r="370" spans="1:105" x14ac:dyDescent="0.25">
      <c r="A370" s="128"/>
      <c r="B370" s="109"/>
      <c r="C370" s="109"/>
      <c r="D370" s="129"/>
      <c r="E370" s="42"/>
      <c r="P370" s="119"/>
      <c r="S370" s="119"/>
      <c r="T370" s="119"/>
      <c r="U370" s="119"/>
      <c r="V370" s="119"/>
      <c r="W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K370" s="32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S370"/>
      <c r="CT370"/>
      <c r="CU370"/>
      <c r="CV370"/>
      <c r="CW370"/>
      <c r="CX370"/>
      <c r="CY370"/>
      <c r="CZ370"/>
      <c r="DA370"/>
    </row>
    <row r="371" spans="1:105" x14ac:dyDescent="0.25">
      <c r="A371" s="128"/>
      <c r="B371" s="109"/>
      <c r="C371" s="109"/>
      <c r="D371" s="129"/>
      <c r="E371" s="42"/>
      <c r="P371" s="119"/>
      <c r="S371" s="119"/>
      <c r="T371" s="119"/>
      <c r="U371" s="119"/>
      <c r="V371" s="119"/>
      <c r="W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K371" s="32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S371"/>
      <c r="CT371"/>
      <c r="CU371"/>
      <c r="CV371"/>
      <c r="CW371"/>
      <c r="CX371"/>
      <c r="CY371"/>
      <c r="CZ371"/>
      <c r="DA371"/>
    </row>
    <row r="372" spans="1:105" x14ac:dyDescent="0.25">
      <c r="A372" s="128"/>
      <c r="B372" s="109"/>
      <c r="C372" s="109"/>
      <c r="D372" s="129"/>
      <c r="E372" s="42"/>
      <c r="P372" s="119"/>
      <c r="S372" s="119"/>
      <c r="T372" s="119"/>
      <c r="U372" s="119"/>
      <c r="V372" s="119"/>
      <c r="W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K372" s="3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S372"/>
      <c r="CT372"/>
      <c r="CU372"/>
      <c r="CV372"/>
      <c r="CW372"/>
      <c r="CX372"/>
      <c r="CY372"/>
      <c r="CZ372"/>
      <c r="DA372"/>
    </row>
    <row r="373" spans="1:105" x14ac:dyDescent="0.25">
      <c r="A373" s="128"/>
      <c r="B373" s="109"/>
      <c r="C373" s="109"/>
      <c r="D373" s="129"/>
      <c r="E373" s="42"/>
      <c r="P373" s="119"/>
      <c r="S373" s="119"/>
      <c r="T373" s="119"/>
      <c r="U373" s="119"/>
      <c r="V373" s="119"/>
      <c r="W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K373" s="32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S373"/>
      <c r="CT373"/>
      <c r="CU373"/>
      <c r="CV373"/>
      <c r="CW373"/>
      <c r="CX373"/>
      <c r="CY373"/>
      <c r="CZ373"/>
      <c r="DA373"/>
    </row>
    <row r="374" spans="1:105" x14ac:dyDescent="0.25">
      <c r="A374" s="128"/>
      <c r="B374" s="109"/>
      <c r="C374" s="109"/>
      <c r="D374" s="129"/>
      <c r="E374" s="42"/>
      <c r="P374" s="119"/>
      <c r="S374" s="119"/>
      <c r="T374" s="119"/>
      <c r="U374" s="119"/>
      <c r="V374" s="119"/>
      <c r="W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K374" s="32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S374"/>
      <c r="CT374"/>
      <c r="CU374"/>
      <c r="CV374"/>
      <c r="CW374"/>
      <c r="CX374"/>
      <c r="CY374"/>
      <c r="CZ374"/>
      <c r="DA374"/>
    </row>
    <row r="375" spans="1:105" x14ac:dyDescent="0.25">
      <c r="A375" s="128"/>
      <c r="B375" s="109"/>
      <c r="C375" s="109"/>
      <c r="D375" s="129"/>
      <c r="E375" s="42"/>
      <c r="P375" s="119"/>
      <c r="S375" s="119"/>
      <c r="T375" s="119"/>
      <c r="U375" s="119"/>
      <c r="V375" s="119"/>
      <c r="W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K375" s="32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S375"/>
      <c r="CT375"/>
      <c r="CU375"/>
      <c r="CV375"/>
      <c r="CW375"/>
      <c r="CX375"/>
      <c r="CY375"/>
      <c r="CZ375"/>
      <c r="DA375"/>
    </row>
    <row r="376" spans="1:105" x14ac:dyDescent="0.25">
      <c r="A376" s="128"/>
      <c r="B376" s="109"/>
      <c r="C376" s="109"/>
      <c r="D376" s="129"/>
      <c r="E376" s="42"/>
      <c r="P376" s="119"/>
      <c r="S376" s="119"/>
      <c r="T376" s="119"/>
      <c r="U376" s="119"/>
      <c r="V376" s="119"/>
      <c r="W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K376" s="32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S376"/>
      <c r="CT376"/>
      <c r="CU376"/>
      <c r="CV376"/>
      <c r="CW376"/>
      <c r="CX376"/>
      <c r="CY376"/>
      <c r="CZ376"/>
      <c r="DA376"/>
    </row>
    <row r="377" spans="1:105" x14ac:dyDescent="0.25">
      <c r="A377" s="128"/>
      <c r="B377" s="109"/>
      <c r="C377" s="109"/>
      <c r="D377" s="129"/>
      <c r="E377" s="42"/>
      <c r="P377" s="119"/>
      <c r="S377" s="119"/>
      <c r="T377" s="119"/>
      <c r="U377" s="119"/>
      <c r="V377" s="119"/>
      <c r="W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K377" s="32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S377"/>
      <c r="CT377"/>
      <c r="CU377"/>
      <c r="CV377"/>
      <c r="CW377"/>
      <c r="CX377"/>
      <c r="CY377"/>
      <c r="CZ377"/>
      <c r="DA377"/>
    </row>
    <row r="378" spans="1:105" x14ac:dyDescent="0.25">
      <c r="A378" s="128"/>
      <c r="B378" s="109"/>
      <c r="C378" s="109"/>
      <c r="D378" s="129"/>
      <c r="E378" s="42"/>
      <c r="P378" s="119"/>
      <c r="S378" s="119"/>
      <c r="T378" s="119"/>
      <c r="U378" s="119"/>
      <c r="V378" s="119"/>
      <c r="W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K378" s="32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S378"/>
      <c r="CT378"/>
      <c r="CU378"/>
      <c r="CV378"/>
      <c r="CW378"/>
      <c r="CX378"/>
      <c r="CY378"/>
      <c r="CZ378"/>
      <c r="DA378"/>
    </row>
    <row r="379" spans="1:105" x14ac:dyDescent="0.25">
      <c r="A379" s="128"/>
      <c r="B379" s="109"/>
      <c r="C379" s="109"/>
      <c r="D379" s="129"/>
      <c r="E379" s="42"/>
      <c r="P379" s="119"/>
      <c r="S379" s="119"/>
      <c r="T379" s="119"/>
      <c r="U379" s="119"/>
      <c r="V379" s="119"/>
      <c r="W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K379" s="32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S379"/>
      <c r="CT379"/>
      <c r="CU379"/>
      <c r="CV379"/>
      <c r="CW379"/>
      <c r="CX379"/>
      <c r="CY379"/>
      <c r="CZ379"/>
      <c r="DA379"/>
    </row>
    <row r="380" spans="1:105" x14ac:dyDescent="0.25">
      <c r="A380" s="128"/>
      <c r="B380" s="109"/>
      <c r="C380" s="109"/>
      <c r="D380" s="129"/>
      <c r="E380" s="42"/>
      <c r="P380" s="119"/>
      <c r="S380" s="119"/>
      <c r="T380" s="119"/>
      <c r="U380" s="119"/>
      <c r="V380" s="119"/>
      <c r="W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K380" s="32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S380"/>
      <c r="CT380"/>
      <c r="CU380"/>
      <c r="CV380"/>
      <c r="CW380"/>
      <c r="CX380"/>
      <c r="CY380"/>
      <c r="CZ380"/>
      <c r="DA380"/>
    </row>
    <row r="381" spans="1:105" x14ac:dyDescent="0.25">
      <c r="A381" s="128"/>
      <c r="B381" s="109"/>
      <c r="C381" s="109"/>
      <c r="D381" s="129"/>
      <c r="E381" s="42"/>
      <c r="P381" s="119"/>
      <c r="S381" s="119"/>
      <c r="T381" s="119"/>
      <c r="U381" s="119"/>
      <c r="V381" s="119"/>
      <c r="W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K381" s="32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S381"/>
      <c r="CT381"/>
      <c r="CU381"/>
      <c r="CV381"/>
      <c r="CW381"/>
      <c r="CX381"/>
      <c r="CY381"/>
      <c r="CZ381"/>
      <c r="DA381"/>
    </row>
    <row r="382" spans="1:105" x14ac:dyDescent="0.25">
      <c r="A382" s="128"/>
      <c r="B382" s="109"/>
      <c r="C382" s="109"/>
      <c r="D382" s="129"/>
      <c r="E382" s="42"/>
      <c r="P382" s="119"/>
      <c r="S382" s="119"/>
      <c r="T382" s="119"/>
      <c r="U382" s="119"/>
      <c r="V382" s="119"/>
      <c r="W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K382" s="3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S382"/>
      <c r="CT382"/>
      <c r="CU382"/>
      <c r="CV382"/>
      <c r="CW382"/>
      <c r="CX382"/>
      <c r="CY382"/>
      <c r="CZ382"/>
      <c r="DA382"/>
    </row>
    <row r="383" spans="1:105" x14ac:dyDescent="0.25">
      <c r="A383" s="128"/>
      <c r="B383" s="109"/>
      <c r="C383" s="109"/>
      <c r="D383" s="129"/>
      <c r="E383" s="42"/>
      <c r="P383" s="119"/>
      <c r="S383" s="119"/>
      <c r="T383" s="119"/>
      <c r="U383" s="119"/>
      <c r="V383" s="119"/>
      <c r="W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K383" s="32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S383"/>
      <c r="CT383"/>
      <c r="CU383"/>
      <c r="CV383"/>
      <c r="CW383"/>
      <c r="CX383"/>
      <c r="CY383"/>
      <c r="CZ383"/>
      <c r="DA383"/>
    </row>
    <row r="384" spans="1:105" x14ac:dyDescent="0.25">
      <c r="A384" s="128"/>
      <c r="B384" s="109"/>
      <c r="C384" s="109"/>
      <c r="D384" s="129"/>
      <c r="E384" s="42"/>
      <c r="P384" s="119"/>
      <c r="S384" s="119"/>
      <c r="T384" s="119"/>
      <c r="U384" s="119"/>
      <c r="V384" s="119"/>
      <c r="W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K384" s="32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S384"/>
      <c r="CT384"/>
      <c r="CU384"/>
      <c r="CV384"/>
      <c r="CW384"/>
      <c r="CX384"/>
      <c r="CY384"/>
      <c r="CZ384"/>
      <c r="DA384"/>
    </row>
    <row r="385" spans="1:105" x14ac:dyDescent="0.25">
      <c r="A385" s="128"/>
      <c r="B385" s="109"/>
      <c r="C385" s="109"/>
      <c r="D385" s="129"/>
      <c r="E385" s="42"/>
      <c r="P385" s="119"/>
      <c r="S385" s="119"/>
      <c r="T385" s="119"/>
      <c r="U385" s="119"/>
      <c r="V385" s="119"/>
      <c r="W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K385" s="32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S385"/>
      <c r="CT385"/>
      <c r="CU385"/>
      <c r="CV385"/>
      <c r="CW385"/>
      <c r="CX385"/>
      <c r="CY385"/>
      <c r="CZ385"/>
      <c r="DA385"/>
    </row>
    <row r="386" spans="1:105" x14ac:dyDescent="0.25">
      <c r="A386" s="128"/>
      <c r="B386" s="109"/>
      <c r="C386" s="109"/>
      <c r="D386" s="129"/>
      <c r="E386" s="42"/>
      <c r="P386" s="119"/>
      <c r="S386" s="119"/>
      <c r="T386" s="119"/>
      <c r="U386" s="119"/>
      <c r="V386" s="119"/>
      <c r="W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K386" s="32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S386"/>
      <c r="CT386"/>
      <c r="CU386"/>
      <c r="CV386"/>
      <c r="CW386"/>
      <c r="CX386"/>
      <c r="CY386"/>
      <c r="CZ386"/>
      <c r="DA386"/>
    </row>
    <row r="387" spans="1:105" x14ac:dyDescent="0.25">
      <c r="A387" s="128"/>
      <c r="B387" s="109"/>
      <c r="C387" s="109"/>
      <c r="D387" s="129"/>
      <c r="E387" s="42"/>
      <c r="P387" s="119"/>
      <c r="S387" s="119"/>
      <c r="T387" s="119"/>
      <c r="U387" s="119"/>
      <c r="V387" s="119"/>
      <c r="W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K387" s="32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S387"/>
      <c r="CT387"/>
      <c r="CU387"/>
      <c r="CV387"/>
      <c r="CW387"/>
      <c r="CX387"/>
      <c r="CY387"/>
      <c r="CZ387"/>
      <c r="DA387"/>
    </row>
    <row r="388" spans="1:105" x14ac:dyDescent="0.25">
      <c r="A388" s="128"/>
      <c r="B388" s="109"/>
      <c r="C388" s="109"/>
      <c r="D388" s="129"/>
      <c r="E388" s="42"/>
      <c r="P388" s="119"/>
      <c r="S388" s="119"/>
      <c r="T388" s="119"/>
      <c r="U388" s="119"/>
      <c r="V388" s="119"/>
      <c r="W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K388" s="32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S388"/>
      <c r="CT388"/>
      <c r="CU388"/>
      <c r="CV388"/>
      <c r="CW388"/>
      <c r="CX388"/>
      <c r="CY388"/>
      <c r="CZ388"/>
      <c r="DA388"/>
    </row>
    <row r="389" spans="1:105" x14ac:dyDescent="0.25">
      <c r="A389" s="128"/>
      <c r="B389" s="109"/>
      <c r="C389" s="109"/>
      <c r="D389" s="129"/>
      <c r="E389" s="42"/>
      <c r="P389" s="119"/>
      <c r="S389" s="119"/>
      <c r="T389" s="119"/>
      <c r="U389" s="119"/>
      <c r="V389" s="119"/>
      <c r="W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K389" s="32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S389"/>
      <c r="CT389"/>
      <c r="CU389"/>
      <c r="CV389"/>
      <c r="CW389"/>
      <c r="CX389"/>
      <c r="CY389"/>
      <c r="CZ389"/>
      <c r="DA389"/>
    </row>
    <row r="390" spans="1:105" x14ac:dyDescent="0.25">
      <c r="A390" s="128"/>
      <c r="B390" s="109"/>
      <c r="C390" s="109"/>
      <c r="D390" s="129"/>
      <c r="E390" s="42"/>
      <c r="P390" s="119"/>
      <c r="S390" s="119"/>
      <c r="T390" s="119"/>
      <c r="U390" s="119"/>
      <c r="V390" s="119"/>
      <c r="W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K390" s="32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S390"/>
      <c r="CT390"/>
      <c r="CU390"/>
      <c r="CV390"/>
      <c r="CW390"/>
      <c r="CX390"/>
      <c r="CY390"/>
      <c r="CZ390"/>
      <c r="DA390"/>
    </row>
    <row r="391" spans="1:105" x14ac:dyDescent="0.25">
      <c r="A391" s="128"/>
      <c r="B391" s="109"/>
      <c r="C391" s="109"/>
      <c r="D391" s="129"/>
      <c r="E391" s="42"/>
      <c r="P391" s="119"/>
      <c r="S391" s="119"/>
      <c r="T391" s="119"/>
      <c r="U391" s="119"/>
      <c r="V391" s="119"/>
      <c r="W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K391" s="32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S391"/>
      <c r="CT391"/>
      <c r="CU391"/>
      <c r="CV391"/>
      <c r="CW391"/>
      <c r="CX391"/>
      <c r="CY391"/>
      <c r="CZ391"/>
      <c r="DA391"/>
    </row>
    <row r="392" spans="1:105" x14ac:dyDescent="0.25">
      <c r="A392" s="128"/>
      <c r="B392" s="109"/>
      <c r="C392" s="109"/>
      <c r="D392" s="129"/>
      <c r="E392" s="42"/>
      <c r="P392" s="119"/>
      <c r="S392" s="119"/>
      <c r="T392" s="119"/>
      <c r="U392" s="119"/>
      <c r="V392" s="119"/>
      <c r="W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K392" s="3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S392"/>
      <c r="CT392"/>
      <c r="CU392"/>
      <c r="CV392"/>
      <c r="CW392"/>
      <c r="CX392"/>
      <c r="CY392"/>
      <c r="CZ392"/>
      <c r="DA392"/>
    </row>
    <row r="393" spans="1:105" x14ac:dyDescent="0.25">
      <c r="A393" s="128"/>
      <c r="B393" s="109"/>
      <c r="C393" s="109"/>
      <c r="D393" s="129"/>
      <c r="E393" s="42"/>
      <c r="P393" s="119"/>
      <c r="S393" s="119"/>
      <c r="T393" s="119"/>
      <c r="U393" s="119"/>
      <c r="V393" s="119"/>
      <c r="W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K393" s="32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S393"/>
      <c r="CT393"/>
      <c r="CU393"/>
      <c r="CV393"/>
      <c r="CW393"/>
      <c r="CX393"/>
      <c r="CY393"/>
      <c r="CZ393"/>
      <c r="DA393"/>
    </row>
    <row r="394" spans="1:105" x14ac:dyDescent="0.25">
      <c r="A394" s="128"/>
      <c r="B394" s="109"/>
      <c r="C394" s="109"/>
      <c r="D394" s="129"/>
      <c r="E394" s="42"/>
      <c r="P394" s="119"/>
      <c r="S394" s="119"/>
      <c r="T394" s="119"/>
      <c r="U394" s="119"/>
      <c r="V394" s="119"/>
      <c r="W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K394" s="32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S394"/>
      <c r="CT394"/>
      <c r="CU394"/>
      <c r="CV394"/>
      <c r="CW394"/>
      <c r="CX394"/>
      <c r="CY394"/>
      <c r="CZ394"/>
      <c r="DA394"/>
    </row>
    <row r="395" spans="1:105" x14ac:dyDescent="0.25">
      <c r="A395" s="128"/>
      <c r="B395" s="109"/>
      <c r="C395" s="109"/>
      <c r="D395" s="129"/>
      <c r="E395" s="42"/>
      <c r="P395" s="119"/>
      <c r="S395" s="119"/>
      <c r="T395" s="119"/>
      <c r="U395" s="119"/>
      <c r="V395" s="119"/>
      <c r="W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K395" s="32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S395"/>
      <c r="CT395"/>
      <c r="CU395"/>
      <c r="CV395"/>
      <c r="CW395"/>
      <c r="CX395"/>
      <c r="CY395"/>
      <c r="CZ395"/>
      <c r="DA395"/>
    </row>
    <row r="396" spans="1:105" x14ac:dyDescent="0.25">
      <c r="A396" s="128"/>
      <c r="B396" s="109"/>
      <c r="C396" s="109"/>
      <c r="D396" s="129"/>
      <c r="E396" s="42"/>
      <c r="P396" s="119"/>
      <c r="S396" s="119"/>
      <c r="T396" s="119"/>
      <c r="U396" s="119"/>
      <c r="V396" s="119"/>
      <c r="W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K396" s="32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S396"/>
      <c r="CT396"/>
      <c r="CU396"/>
      <c r="CV396"/>
      <c r="CW396"/>
      <c r="CX396"/>
      <c r="CY396"/>
      <c r="CZ396"/>
      <c r="DA396"/>
    </row>
    <row r="397" spans="1:105" x14ac:dyDescent="0.25">
      <c r="A397" s="128"/>
      <c r="B397" s="109"/>
      <c r="C397" s="109"/>
      <c r="D397" s="129"/>
      <c r="E397" s="42"/>
      <c r="P397" s="119"/>
      <c r="S397" s="119"/>
      <c r="T397" s="119"/>
      <c r="U397" s="119"/>
      <c r="V397" s="119"/>
      <c r="W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K397" s="32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S397"/>
      <c r="CT397"/>
      <c r="CU397"/>
      <c r="CV397"/>
      <c r="CW397"/>
      <c r="CX397"/>
      <c r="CY397"/>
      <c r="CZ397"/>
      <c r="DA397"/>
    </row>
    <row r="398" spans="1:105" x14ac:dyDescent="0.25">
      <c r="A398" s="128"/>
      <c r="B398" s="109"/>
      <c r="C398" s="109"/>
      <c r="D398" s="129"/>
      <c r="E398" s="42"/>
      <c r="P398" s="119"/>
      <c r="S398" s="119"/>
      <c r="T398" s="119"/>
      <c r="U398" s="119"/>
      <c r="V398" s="119"/>
      <c r="W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K398" s="32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S398"/>
      <c r="CT398"/>
      <c r="CU398"/>
      <c r="CV398"/>
      <c r="CW398"/>
      <c r="CX398"/>
      <c r="CY398"/>
      <c r="CZ398"/>
      <c r="DA398"/>
    </row>
    <row r="399" spans="1:105" x14ac:dyDescent="0.25">
      <c r="A399" s="128"/>
      <c r="B399" s="109"/>
      <c r="C399" s="109"/>
      <c r="D399" s="129"/>
      <c r="E399" s="42"/>
      <c r="P399" s="119"/>
      <c r="S399" s="119"/>
      <c r="T399" s="119"/>
      <c r="U399" s="119"/>
      <c r="V399" s="119"/>
      <c r="W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K399" s="32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S399"/>
      <c r="CT399"/>
      <c r="CU399"/>
      <c r="CV399"/>
      <c r="CW399"/>
      <c r="CX399"/>
      <c r="CY399"/>
      <c r="CZ399"/>
      <c r="DA399"/>
    </row>
    <row r="400" spans="1:105" x14ac:dyDescent="0.25">
      <c r="A400" s="128"/>
      <c r="B400" s="109"/>
      <c r="C400" s="109"/>
      <c r="D400" s="129"/>
      <c r="E400" s="42"/>
      <c r="P400" s="119"/>
      <c r="S400" s="119"/>
      <c r="T400" s="119"/>
      <c r="U400" s="119"/>
      <c r="V400" s="119"/>
      <c r="W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K400" s="32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S400"/>
      <c r="CT400"/>
      <c r="CU400"/>
      <c r="CV400"/>
      <c r="CW400"/>
      <c r="CX400"/>
      <c r="CY400"/>
      <c r="CZ400"/>
      <c r="DA400"/>
    </row>
    <row r="401" spans="1:105" x14ac:dyDescent="0.25">
      <c r="A401" s="128"/>
      <c r="B401" s="109"/>
      <c r="C401" s="109"/>
      <c r="D401" s="129"/>
      <c r="E401" s="42"/>
      <c r="P401" s="119"/>
      <c r="S401" s="119"/>
      <c r="T401" s="119"/>
      <c r="U401" s="119"/>
      <c r="V401" s="119"/>
      <c r="W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K401" s="32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S401"/>
      <c r="CT401"/>
      <c r="CU401"/>
      <c r="CV401"/>
      <c r="CW401"/>
      <c r="CX401"/>
      <c r="CY401"/>
      <c r="CZ401"/>
      <c r="DA401"/>
    </row>
    <row r="402" spans="1:105" x14ac:dyDescent="0.25">
      <c r="A402" s="128"/>
      <c r="B402" s="109"/>
      <c r="C402" s="109"/>
      <c r="D402" s="129"/>
      <c r="E402" s="42"/>
      <c r="P402" s="119"/>
      <c r="S402" s="119"/>
      <c r="T402" s="119"/>
      <c r="U402" s="119"/>
      <c r="V402" s="119"/>
      <c r="W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K402" s="3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S402"/>
      <c r="CT402"/>
      <c r="CU402"/>
      <c r="CV402"/>
      <c r="CW402"/>
      <c r="CX402"/>
      <c r="CY402"/>
      <c r="CZ402"/>
      <c r="DA402"/>
    </row>
    <row r="403" spans="1:105" x14ac:dyDescent="0.25">
      <c r="A403" s="128"/>
      <c r="B403" s="109"/>
      <c r="C403" s="109"/>
      <c r="D403" s="129"/>
      <c r="E403" s="42"/>
      <c r="P403" s="119"/>
      <c r="S403" s="119"/>
      <c r="T403" s="119"/>
      <c r="U403" s="119"/>
      <c r="V403" s="119"/>
      <c r="W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K403" s="32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S403"/>
      <c r="CT403"/>
      <c r="CU403"/>
      <c r="CV403"/>
      <c r="CW403"/>
      <c r="CX403"/>
      <c r="CY403"/>
      <c r="CZ403"/>
      <c r="DA403"/>
    </row>
    <row r="404" spans="1:105" x14ac:dyDescent="0.25">
      <c r="A404" s="128"/>
      <c r="B404" s="109"/>
      <c r="C404" s="109"/>
      <c r="D404" s="129"/>
      <c r="E404" s="42"/>
      <c r="P404" s="119"/>
      <c r="S404" s="119"/>
      <c r="T404" s="119"/>
      <c r="U404" s="119"/>
      <c r="V404" s="119"/>
      <c r="W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K404" s="32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S404"/>
      <c r="CT404"/>
      <c r="CU404"/>
      <c r="CV404"/>
      <c r="CW404"/>
      <c r="CX404"/>
      <c r="CY404"/>
      <c r="CZ404"/>
      <c r="DA404"/>
    </row>
    <row r="405" spans="1:105" x14ac:dyDescent="0.25">
      <c r="A405" s="128"/>
      <c r="B405" s="109"/>
      <c r="C405" s="109"/>
      <c r="D405" s="129"/>
      <c r="E405" s="42"/>
      <c r="P405" s="119"/>
      <c r="S405" s="119"/>
      <c r="T405" s="119"/>
      <c r="U405" s="119"/>
      <c r="V405" s="119"/>
      <c r="W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K405" s="32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S405"/>
      <c r="CT405"/>
      <c r="CU405"/>
      <c r="CV405"/>
      <c r="CW405"/>
      <c r="CX405"/>
      <c r="CY405"/>
      <c r="CZ405"/>
      <c r="DA405"/>
    </row>
    <row r="406" spans="1:105" x14ac:dyDescent="0.25">
      <c r="A406" s="128"/>
      <c r="B406" s="109"/>
      <c r="C406" s="109"/>
      <c r="D406" s="129"/>
      <c r="E406" s="42"/>
      <c r="P406" s="119"/>
      <c r="S406" s="119"/>
      <c r="T406" s="119"/>
      <c r="U406" s="119"/>
      <c r="V406" s="119"/>
      <c r="W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K406" s="32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S406"/>
      <c r="CT406"/>
      <c r="CU406"/>
      <c r="CV406"/>
      <c r="CW406"/>
      <c r="CX406"/>
      <c r="CY406"/>
      <c r="CZ406"/>
      <c r="DA406"/>
    </row>
    <row r="407" spans="1:105" x14ac:dyDescent="0.25">
      <c r="A407" s="128"/>
      <c r="B407" s="109"/>
      <c r="C407" s="109"/>
      <c r="D407" s="129"/>
      <c r="E407" s="42"/>
      <c r="P407" s="119"/>
      <c r="S407" s="119"/>
      <c r="T407" s="119"/>
      <c r="U407" s="119"/>
      <c r="V407" s="119"/>
      <c r="W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K407" s="32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S407"/>
      <c r="CT407"/>
      <c r="CU407"/>
      <c r="CV407"/>
      <c r="CW407"/>
      <c r="CX407"/>
      <c r="CY407"/>
      <c r="CZ407"/>
      <c r="DA407"/>
    </row>
    <row r="408" spans="1:105" x14ac:dyDescent="0.25">
      <c r="A408" s="128"/>
      <c r="B408" s="109"/>
      <c r="C408" s="109"/>
      <c r="D408" s="129"/>
      <c r="E408" s="42"/>
      <c r="P408" s="119"/>
      <c r="S408" s="119"/>
      <c r="T408" s="119"/>
      <c r="U408" s="119"/>
      <c r="V408" s="119"/>
      <c r="W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K408" s="32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S408"/>
      <c r="CT408"/>
      <c r="CU408"/>
      <c r="CV408"/>
      <c r="CW408"/>
      <c r="CX408"/>
      <c r="CY408"/>
      <c r="CZ408"/>
      <c r="DA408"/>
    </row>
    <row r="409" spans="1:105" x14ac:dyDescent="0.25">
      <c r="A409" s="128"/>
      <c r="B409" s="109"/>
      <c r="C409" s="109"/>
      <c r="D409" s="129"/>
      <c r="E409" s="42"/>
      <c r="P409" s="119"/>
      <c r="S409" s="119"/>
      <c r="T409" s="119"/>
      <c r="U409" s="119"/>
      <c r="V409" s="119"/>
      <c r="W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K409" s="32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S409"/>
      <c r="CT409"/>
      <c r="CU409"/>
      <c r="CV409"/>
      <c r="CW409"/>
      <c r="CX409"/>
      <c r="CY409"/>
      <c r="CZ409"/>
      <c r="DA409"/>
    </row>
    <row r="410" spans="1:105" x14ac:dyDescent="0.25">
      <c r="A410" s="128"/>
      <c r="B410" s="109"/>
      <c r="C410" s="109"/>
      <c r="D410" s="129"/>
      <c r="E410" s="42"/>
      <c r="P410" s="119"/>
      <c r="S410" s="119"/>
      <c r="T410" s="119"/>
      <c r="U410" s="119"/>
      <c r="V410" s="119"/>
      <c r="W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K410" s="32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S410"/>
      <c r="CT410"/>
      <c r="CU410"/>
      <c r="CV410"/>
      <c r="CW410"/>
      <c r="CX410"/>
      <c r="CY410"/>
      <c r="CZ410"/>
      <c r="DA410"/>
    </row>
    <row r="411" spans="1:105" x14ac:dyDescent="0.25">
      <c r="A411" s="128"/>
      <c r="B411" s="109"/>
      <c r="C411" s="109"/>
      <c r="D411" s="129"/>
      <c r="E411" s="42"/>
      <c r="P411" s="119"/>
      <c r="S411" s="119"/>
      <c r="T411" s="119"/>
      <c r="U411" s="119"/>
      <c r="V411" s="119"/>
      <c r="W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K411" s="32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S411"/>
      <c r="CT411"/>
      <c r="CU411"/>
      <c r="CV411"/>
      <c r="CW411"/>
      <c r="CX411"/>
      <c r="CY411"/>
      <c r="CZ411"/>
      <c r="DA411"/>
    </row>
    <row r="412" spans="1:105" x14ac:dyDescent="0.25">
      <c r="A412" s="128"/>
      <c r="B412" s="109"/>
      <c r="C412" s="109"/>
      <c r="D412" s="129"/>
      <c r="E412" s="42"/>
      <c r="P412" s="119"/>
      <c r="S412" s="119"/>
      <c r="T412" s="119"/>
      <c r="U412" s="119"/>
      <c r="V412" s="119"/>
      <c r="W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K412" s="3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S412"/>
      <c r="CT412"/>
      <c r="CU412"/>
      <c r="CV412"/>
      <c r="CW412"/>
      <c r="CX412"/>
      <c r="CY412"/>
      <c r="CZ412"/>
      <c r="DA412"/>
    </row>
    <row r="413" spans="1:105" x14ac:dyDescent="0.25">
      <c r="A413" s="128"/>
      <c r="B413" s="109"/>
      <c r="C413" s="109"/>
      <c r="D413" s="129"/>
      <c r="E413" s="42"/>
      <c r="P413" s="119"/>
      <c r="S413" s="119"/>
      <c r="T413" s="119"/>
      <c r="U413" s="119"/>
      <c r="V413" s="119"/>
      <c r="W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K413" s="32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S413"/>
      <c r="CT413"/>
      <c r="CU413"/>
      <c r="CV413"/>
      <c r="CW413"/>
      <c r="CX413"/>
      <c r="CY413"/>
      <c r="CZ413"/>
      <c r="DA413"/>
    </row>
    <row r="414" spans="1:105" x14ac:dyDescent="0.25">
      <c r="A414" s="128"/>
      <c r="B414" s="109"/>
      <c r="C414" s="109"/>
      <c r="D414" s="129"/>
      <c r="E414" s="42"/>
      <c r="P414" s="119"/>
      <c r="S414" s="119"/>
      <c r="T414" s="119"/>
      <c r="U414" s="119"/>
      <c r="V414" s="119"/>
      <c r="W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K414" s="32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S414"/>
      <c r="CT414"/>
      <c r="CU414"/>
      <c r="CV414"/>
      <c r="CW414"/>
      <c r="CX414"/>
      <c r="CY414"/>
      <c r="CZ414"/>
      <c r="DA414"/>
    </row>
    <row r="415" spans="1:105" x14ac:dyDescent="0.25">
      <c r="A415" s="128"/>
      <c r="B415" s="109"/>
      <c r="C415" s="109"/>
      <c r="D415" s="129"/>
      <c r="E415" s="42"/>
      <c r="P415" s="119"/>
      <c r="S415" s="119"/>
      <c r="T415" s="119"/>
      <c r="U415" s="119"/>
      <c r="V415" s="119"/>
      <c r="W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K415" s="32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S415"/>
      <c r="CT415"/>
      <c r="CU415"/>
      <c r="CV415"/>
      <c r="CW415"/>
      <c r="CX415"/>
      <c r="CY415"/>
      <c r="CZ415"/>
      <c r="DA415"/>
    </row>
    <row r="416" spans="1:105" x14ac:dyDescent="0.25">
      <c r="A416" s="128"/>
      <c r="B416" s="109"/>
      <c r="C416" s="109"/>
      <c r="D416" s="129"/>
      <c r="E416" s="42"/>
      <c r="P416" s="119"/>
      <c r="S416" s="119"/>
      <c r="T416" s="119"/>
      <c r="U416" s="119"/>
      <c r="V416" s="119"/>
      <c r="W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K416" s="32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S416"/>
      <c r="CT416"/>
      <c r="CU416"/>
      <c r="CV416"/>
      <c r="CW416"/>
      <c r="CX416"/>
      <c r="CY416"/>
      <c r="CZ416"/>
      <c r="DA416"/>
    </row>
    <row r="417" spans="1:105" x14ac:dyDescent="0.25">
      <c r="A417" s="128"/>
      <c r="B417" s="109"/>
      <c r="C417" s="109"/>
      <c r="D417" s="129"/>
      <c r="E417" s="42"/>
      <c r="P417" s="119"/>
      <c r="S417" s="119"/>
      <c r="T417" s="119"/>
      <c r="U417" s="119"/>
      <c r="V417" s="119"/>
      <c r="W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K417" s="32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S417"/>
      <c r="CT417"/>
      <c r="CU417"/>
      <c r="CV417"/>
      <c r="CW417"/>
      <c r="CX417"/>
      <c r="CY417"/>
      <c r="CZ417"/>
      <c r="DA417"/>
    </row>
    <row r="418" spans="1:105" x14ac:dyDescent="0.25">
      <c r="A418" s="128"/>
      <c r="B418" s="109"/>
      <c r="C418" s="109"/>
      <c r="D418" s="129"/>
      <c r="E418" s="42"/>
      <c r="P418" s="119"/>
      <c r="S418" s="119"/>
      <c r="T418" s="119"/>
      <c r="U418" s="119"/>
      <c r="V418" s="119"/>
      <c r="W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K418" s="32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S418"/>
      <c r="CT418"/>
      <c r="CU418"/>
      <c r="CV418"/>
      <c r="CW418"/>
      <c r="CX418"/>
      <c r="CY418"/>
      <c r="CZ418"/>
      <c r="DA418"/>
    </row>
    <row r="419" spans="1:105" x14ac:dyDescent="0.25">
      <c r="A419" s="128"/>
      <c r="B419" s="109"/>
      <c r="C419" s="109"/>
      <c r="D419" s="129"/>
      <c r="E419" s="42"/>
      <c r="P419" s="119"/>
      <c r="S419" s="119"/>
      <c r="T419" s="119"/>
      <c r="U419" s="119"/>
      <c r="V419" s="119"/>
      <c r="W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K419" s="32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S419"/>
      <c r="CT419"/>
      <c r="CU419"/>
      <c r="CV419"/>
      <c r="CW419"/>
      <c r="CX419"/>
      <c r="CY419"/>
      <c r="CZ419"/>
      <c r="DA419"/>
    </row>
    <row r="420" spans="1:105" x14ac:dyDescent="0.25">
      <c r="A420" s="128"/>
      <c r="B420" s="109"/>
      <c r="C420" s="109"/>
      <c r="D420" s="129"/>
      <c r="E420" s="42"/>
      <c r="P420" s="119"/>
      <c r="S420" s="119"/>
      <c r="T420" s="119"/>
      <c r="U420" s="119"/>
      <c r="V420" s="119"/>
      <c r="W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K420" s="32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S420"/>
      <c r="CT420"/>
      <c r="CU420"/>
      <c r="CV420"/>
      <c r="CW420"/>
      <c r="CX420"/>
      <c r="CY420"/>
      <c r="CZ420"/>
      <c r="DA420"/>
    </row>
    <row r="421" spans="1:105" x14ac:dyDescent="0.25">
      <c r="A421" s="128"/>
      <c r="B421" s="109"/>
      <c r="C421" s="109"/>
      <c r="D421" s="129"/>
      <c r="E421" s="42"/>
      <c r="P421" s="119"/>
      <c r="S421" s="119"/>
      <c r="T421" s="119"/>
      <c r="U421" s="119"/>
      <c r="V421" s="119"/>
      <c r="W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K421" s="32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S421"/>
      <c r="CT421"/>
      <c r="CU421"/>
      <c r="CV421"/>
      <c r="CW421"/>
      <c r="CX421"/>
      <c r="CY421"/>
      <c r="CZ421"/>
      <c r="DA421"/>
    </row>
    <row r="422" spans="1:105" x14ac:dyDescent="0.25">
      <c r="A422" s="128"/>
      <c r="B422" s="109"/>
      <c r="C422" s="109"/>
      <c r="D422" s="129"/>
      <c r="E422" s="42"/>
      <c r="P422" s="119"/>
      <c r="S422" s="119"/>
      <c r="T422" s="119"/>
      <c r="U422" s="119"/>
      <c r="V422" s="119"/>
      <c r="W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K422" s="3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S422"/>
      <c r="CT422"/>
      <c r="CU422"/>
      <c r="CV422"/>
      <c r="CW422"/>
      <c r="CX422"/>
      <c r="CY422"/>
      <c r="CZ422"/>
      <c r="DA422"/>
    </row>
    <row r="423" spans="1:105" x14ac:dyDescent="0.25">
      <c r="A423" s="128"/>
      <c r="B423" s="109"/>
      <c r="C423" s="109"/>
      <c r="D423" s="129"/>
      <c r="E423" s="42"/>
      <c r="P423" s="119"/>
      <c r="S423" s="119"/>
      <c r="T423" s="119"/>
      <c r="U423" s="119"/>
      <c r="V423" s="119"/>
      <c r="W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K423" s="32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S423"/>
      <c r="CT423"/>
      <c r="CU423"/>
      <c r="CV423"/>
      <c r="CW423"/>
      <c r="CX423"/>
      <c r="CY423"/>
      <c r="CZ423"/>
      <c r="DA423"/>
    </row>
    <row r="424" spans="1:105" x14ac:dyDescent="0.25">
      <c r="A424" s="128"/>
      <c r="B424" s="109"/>
      <c r="C424" s="109"/>
      <c r="D424" s="129"/>
      <c r="E424" s="42"/>
      <c r="P424" s="119"/>
      <c r="S424" s="119"/>
      <c r="T424" s="119"/>
      <c r="U424" s="119"/>
      <c r="V424" s="119"/>
      <c r="W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K424" s="32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S424"/>
      <c r="CT424"/>
      <c r="CU424"/>
      <c r="CV424"/>
      <c r="CW424"/>
      <c r="CX424"/>
      <c r="CY424"/>
      <c r="CZ424"/>
      <c r="DA424"/>
    </row>
    <row r="425" spans="1:105" x14ac:dyDescent="0.25">
      <c r="A425" s="128"/>
      <c r="B425" s="109"/>
      <c r="C425" s="109"/>
      <c r="D425" s="129"/>
      <c r="E425" s="42"/>
      <c r="P425" s="119"/>
      <c r="S425" s="119"/>
      <c r="T425" s="119"/>
      <c r="U425" s="119"/>
      <c r="V425" s="119"/>
      <c r="W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K425" s="32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S425"/>
      <c r="CT425"/>
      <c r="CU425"/>
      <c r="CV425"/>
      <c r="CW425"/>
      <c r="CX425"/>
      <c r="CY425"/>
      <c r="CZ425"/>
      <c r="DA425"/>
    </row>
    <row r="426" spans="1:105" x14ac:dyDescent="0.25">
      <c r="A426" s="128"/>
      <c r="B426" s="109"/>
      <c r="C426" s="109"/>
      <c r="D426" s="129"/>
      <c r="E426" s="42"/>
      <c r="P426" s="119"/>
      <c r="S426" s="119"/>
      <c r="T426" s="119"/>
      <c r="U426" s="119"/>
      <c r="V426" s="119"/>
      <c r="W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K426" s="32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S426"/>
      <c r="CT426"/>
      <c r="CU426"/>
      <c r="CV426"/>
      <c r="CW426"/>
      <c r="CX426"/>
      <c r="CY426"/>
      <c r="CZ426"/>
      <c r="DA426"/>
    </row>
    <row r="427" spans="1:105" x14ac:dyDescent="0.25">
      <c r="A427" s="128"/>
      <c r="B427" s="109"/>
      <c r="C427" s="109"/>
      <c r="D427" s="129"/>
      <c r="E427" s="42"/>
      <c r="P427" s="119"/>
      <c r="S427" s="119"/>
      <c r="T427" s="119"/>
      <c r="U427" s="119"/>
      <c r="V427" s="119"/>
      <c r="W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K427" s="32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S427"/>
      <c r="CT427"/>
      <c r="CU427"/>
      <c r="CV427"/>
      <c r="CW427"/>
      <c r="CX427"/>
      <c r="CY427"/>
      <c r="CZ427"/>
      <c r="DA427"/>
    </row>
    <row r="428" spans="1:105" x14ac:dyDescent="0.25">
      <c r="A428" s="128"/>
      <c r="B428" s="109"/>
      <c r="C428" s="109"/>
      <c r="D428" s="129"/>
      <c r="E428" s="42"/>
      <c r="P428" s="119"/>
      <c r="S428" s="119"/>
      <c r="T428" s="119"/>
      <c r="U428" s="119"/>
      <c r="V428" s="119"/>
      <c r="W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K428" s="32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S428"/>
      <c r="CT428"/>
      <c r="CU428"/>
      <c r="CV428"/>
      <c r="CW428"/>
      <c r="CX428"/>
      <c r="CY428"/>
      <c r="CZ428"/>
      <c r="DA428"/>
    </row>
    <row r="429" spans="1:105" x14ac:dyDescent="0.25">
      <c r="A429" s="128"/>
      <c r="B429" s="109"/>
      <c r="C429" s="109"/>
      <c r="D429" s="129"/>
      <c r="E429" s="42"/>
      <c r="P429" s="119"/>
      <c r="S429" s="119"/>
      <c r="T429" s="119"/>
      <c r="U429" s="119"/>
      <c r="V429" s="119"/>
      <c r="W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K429" s="32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S429"/>
      <c r="CT429"/>
      <c r="CU429"/>
      <c r="CV429"/>
      <c r="CW429"/>
      <c r="CX429"/>
      <c r="CY429"/>
      <c r="CZ429"/>
      <c r="DA429"/>
    </row>
    <row r="430" spans="1:105" x14ac:dyDescent="0.25">
      <c r="A430" s="128"/>
      <c r="B430" s="109"/>
      <c r="C430" s="109"/>
      <c r="D430" s="129"/>
      <c r="E430" s="42"/>
      <c r="P430" s="119"/>
      <c r="S430" s="119"/>
      <c r="T430" s="119"/>
      <c r="U430" s="119"/>
      <c r="V430" s="119"/>
      <c r="W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K430" s="32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S430"/>
      <c r="CT430"/>
      <c r="CU430"/>
      <c r="CV430"/>
      <c r="CW430"/>
      <c r="CX430"/>
      <c r="CY430"/>
      <c r="CZ430"/>
      <c r="DA430"/>
    </row>
    <row r="431" spans="1:105" x14ac:dyDescent="0.25">
      <c r="A431" s="128"/>
      <c r="B431" s="109"/>
      <c r="C431" s="109"/>
      <c r="D431" s="129"/>
      <c r="E431" s="42"/>
      <c r="P431" s="119"/>
      <c r="S431" s="119"/>
      <c r="T431" s="119"/>
      <c r="U431" s="119"/>
      <c r="V431" s="119"/>
      <c r="W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K431" s="32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S431"/>
      <c r="CT431"/>
      <c r="CU431"/>
      <c r="CV431"/>
      <c r="CW431"/>
      <c r="CX431"/>
      <c r="CY431"/>
      <c r="CZ431"/>
      <c r="DA431"/>
    </row>
    <row r="432" spans="1:105" x14ac:dyDescent="0.25">
      <c r="A432" s="128"/>
      <c r="B432" s="109"/>
      <c r="C432" s="109"/>
      <c r="D432" s="129"/>
      <c r="E432" s="42"/>
      <c r="P432" s="119"/>
      <c r="S432" s="119"/>
      <c r="T432" s="119"/>
      <c r="U432" s="119"/>
      <c r="V432" s="119"/>
      <c r="W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K432" s="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S432"/>
      <c r="CT432"/>
      <c r="CU432"/>
      <c r="CV432"/>
      <c r="CW432"/>
      <c r="CX432"/>
      <c r="CY432"/>
      <c r="CZ432"/>
      <c r="DA432"/>
    </row>
    <row r="433" spans="1:105" x14ac:dyDescent="0.25">
      <c r="A433" s="128"/>
      <c r="B433" s="109"/>
      <c r="C433" s="109"/>
      <c r="D433" s="129"/>
      <c r="E433" s="42"/>
      <c r="P433" s="119"/>
      <c r="S433" s="119"/>
      <c r="T433" s="119"/>
      <c r="U433" s="119"/>
      <c r="V433" s="119"/>
      <c r="W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K433" s="32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S433"/>
      <c r="CT433"/>
      <c r="CU433"/>
      <c r="CV433"/>
      <c r="CW433"/>
      <c r="CX433"/>
      <c r="CY433"/>
      <c r="CZ433"/>
      <c r="DA433"/>
    </row>
    <row r="434" spans="1:105" x14ac:dyDescent="0.25">
      <c r="A434" s="128"/>
      <c r="B434" s="109"/>
      <c r="C434" s="109"/>
      <c r="D434" s="129"/>
      <c r="E434" s="42"/>
      <c r="P434" s="119"/>
      <c r="S434" s="119"/>
      <c r="T434" s="119"/>
      <c r="U434" s="119"/>
      <c r="V434" s="119"/>
      <c r="W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K434" s="32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S434"/>
      <c r="CT434"/>
      <c r="CU434"/>
      <c r="CV434"/>
      <c r="CW434"/>
      <c r="CX434"/>
      <c r="CY434"/>
      <c r="CZ434"/>
      <c r="DA434"/>
    </row>
    <row r="435" spans="1:105" x14ac:dyDescent="0.25">
      <c r="A435" s="128"/>
      <c r="B435" s="109"/>
      <c r="C435" s="109"/>
      <c r="D435" s="129"/>
      <c r="E435" s="42"/>
      <c r="P435" s="119"/>
      <c r="S435" s="119"/>
      <c r="T435" s="119"/>
      <c r="U435" s="119"/>
      <c r="V435" s="119"/>
      <c r="W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K435" s="32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S435"/>
      <c r="CT435"/>
      <c r="CU435"/>
      <c r="CV435"/>
      <c r="CW435"/>
      <c r="CX435"/>
      <c r="CY435"/>
      <c r="CZ435"/>
      <c r="DA435"/>
    </row>
    <row r="436" spans="1:105" x14ac:dyDescent="0.25">
      <c r="A436" s="128"/>
      <c r="B436" s="109"/>
      <c r="C436" s="109"/>
      <c r="D436" s="129"/>
      <c r="E436" s="42"/>
      <c r="P436" s="119"/>
      <c r="S436" s="119"/>
      <c r="T436" s="119"/>
      <c r="U436" s="119"/>
      <c r="V436" s="119"/>
      <c r="W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K436" s="32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S436"/>
      <c r="CT436"/>
      <c r="CU436"/>
      <c r="CV436"/>
      <c r="CW436"/>
      <c r="CX436"/>
      <c r="CY436"/>
      <c r="CZ436"/>
      <c r="DA436"/>
    </row>
    <row r="437" spans="1:105" x14ac:dyDescent="0.25">
      <c r="A437" s="128"/>
      <c r="B437" s="109"/>
      <c r="C437" s="109"/>
      <c r="D437" s="129"/>
      <c r="E437" s="42"/>
      <c r="P437" s="119"/>
      <c r="S437" s="119"/>
      <c r="T437" s="119"/>
      <c r="U437" s="119"/>
      <c r="V437" s="119"/>
      <c r="W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K437" s="32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S437"/>
      <c r="CT437"/>
      <c r="CU437"/>
      <c r="CV437"/>
      <c r="CW437"/>
      <c r="CX437"/>
      <c r="CY437"/>
      <c r="CZ437"/>
      <c r="DA437"/>
    </row>
    <row r="438" spans="1:105" x14ac:dyDescent="0.25">
      <c r="A438" s="128"/>
      <c r="B438" s="109"/>
      <c r="C438" s="109"/>
      <c r="D438" s="129"/>
      <c r="E438" s="42"/>
      <c r="P438" s="119"/>
      <c r="S438" s="119"/>
      <c r="T438" s="119"/>
      <c r="U438" s="119"/>
      <c r="V438" s="119"/>
      <c r="W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K438" s="32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S438"/>
      <c r="CT438"/>
      <c r="CU438"/>
      <c r="CV438"/>
      <c r="CW438"/>
      <c r="CX438"/>
      <c r="CY438"/>
      <c r="CZ438"/>
      <c r="DA438"/>
    </row>
    <row r="439" spans="1:105" x14ac:dyDescent="0.25">
      <c r="A439" s="128"/>
      <c r="B439" s="109"/>
      <c r="C439" s="109"/>
      <c r="D439" s="129"/>
      <c r="E439" s="42"/>
      <c r="P439" s="119"/>
      <c r="S439" s="119"/>
      <c r="T439" s="119"/>
      <c r="U439" s="119"/>
      <c r="V439" s="119"/>
      <c r="W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K439" s="32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S439"/>
      <c r="CT439"/>
      <c r="CU439"/>
      <c r="CV439"/>
      <c r="CW439"/>
      <c r="CX439"/>
      <c r="CY439"/>
      <c r="CZ439"/>
      <c r="DA439"/>
    </row>
    <row r="440" spans="1:105" x14ac:dyDescent="0.25">
      <c r="A440" s="128"/>
      <c r="B440" s="109"/>
      <c r="C440" s="109"/>
      <c r="D440" s="129"/>
      <c r="E440" s="42"/>
      <c r="P440" s="119"/>
      <c r="S440" s="119"/>
      <c r="T440" s="119"/>
      <c r="U440" s="119"/>
      <c r="V440" s="119"/>
      <c r="W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K440" s="32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S440"/>
      <c r="CT440"/>
      <c r="CU440"/>
      <c r="CV440"/>
      <c r="CW440"/>
      <c r="CX440"/>
      <c r="CY440"/>
      <c r="CZ440"/>
      <c r="DA440"/>
    </row>
    <row r="441" spans="1:105" x14ac:dyDescent="0.25">
      <c r="A441" s="128"/>
      <c r="B441" s="109"/>
      <c r="C441" s="109"/>
      <c r="D441" s="129"/>
      <c r="E441" s="42"/>
      <c r="P441" s="119"/>
      <c r="S441" s="119"/>
      <c r="T441" s="119"/>
      <c r="U441" s="119"/>
      <c r="V441" s="119"/>
      <c r="W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K441" s="32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S441"/>
      <c r="CT441"/>
      <c r="CU441"/>
      <c r="CV441"/>
      <c r="CW441"/>
      <c r="CX441"/>
      <c r="CY441"/>
      <c r="CZ441"/>
      <c r="DA441"/>
    </row>
    <row r="442" spans="1:105" x14ac:dyDescent="0.25">
      <c r="A442" s="128"/>
      <c r="B442" s="109"/>
      <c r="C442" s="109"/>
      <c r="D442" s="129"/>
      <c r="E442" s="42"/>
      <c r="P442" s="119"/>
      <c r="S442" s="119"/>
      <c r="T442" s="119"/>
      <c r="U442" s="119"/>
      <c r="V442" s="119"/>
      <c r="W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K442" s="3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S442"/>
      <c r="CT442"/>
      <c r="CU442"/>
      <c r="CV442"/>
      <c r="CW442"/>
      <c r="CX442"/>
      <c r="CY442"/>
      <c r="CZ442"/>
      <c r="DA442"/>
    </row>
    <row r="443" spans="1:105" x14ac:dyDescent="0.25">
      <c r="A443" s="128"/>
      <c r="B443" s="109"/>
      <c r="C443" s="109"/>
      <c r="D443" s="129"/>
      <c r="E443" s="42"/>
      <c r="P443" s="119"/>
      <c r="S443" s="119"/>
      <c r="T443" s="119"/>
      <c r="U443" s="119"/>
      <c r="V443" s="119"/>
      <c r="W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K443" s="32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S443"/>
      <c r="CT443"/>
      <c r="CU443"/>
      <c r="CV443"/>
      <c r="CW443"/>
      <c r="CX443"/>
      <c r="CY443"/>
      <c r="CZ443"/>
      <c r="DA443"/>
    </row>
    <row r="444" spans="1:105" x14ac:dyDescent="0.25">
      <c r="A444" s="128"/>
      <c r="B444" s="109"/>
      <c r="C444" s="109"/>
      <c r="D444" s="129"/>
      <c r="E444" s="42"/>
      <c r="P444" s="119"/>
      <c r="S444" s="119"/>
      <c r="T444" s="119"/>
      <c r="U444" s="119"/>
      <c r="V444" s="119"/>
      <c r="W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K444" s="32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S444"/>
      <c r="CT444"/>
      <c r="CU444"/>
      <c r="CV444"/>
      <c r="CW444"/>
      <c r="CX444"/>
      <c r="CY444"/>
      <c r="CZ444"/>
      <c r="DA444"/>
    </row>
    <row r="445" spans="1:105" x14ac:dyDescent="0.25">
      <c r="A445" s="128"/>
      <c r="B445" s="109"/>
      <c r="C445" s="109"/>
      <c r="D445" s="129"/>
      <c r="E445" s="42"/>
      <c r="P445" s="119"/>
      <c r="S445" s="119"/>
      <c r="T445" s="119"/>
      <c r="U445" s="119"/>
      <c r="V445" s="119"/>
      <c r="W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K445" s="32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S445"/>
      <c r="CT445"/>
      <c r="CU445"/>
      <c r="CV445"/>
      <c r="CW445"/>
      <c r="CX445"/>
      <c r="CY445"/>
      <c r="CZ445"/>
      <c r="DA445"/>
    </row>
    <row r="446" spans="1:105" x14ac:dyDescent="0.25">
      <c r="A446" s="128"/>
      <c r="B446" s="109"/>
      <c r="C446" s="109"/>
      <c r="D446" s="129"/>
      <c r="E446" s="42"/>
      <c r="P446" s="119"/>
      <c r="S446" s="119"/>
      <c r="T446" s="119"/>
      <c r="U446" s="119"/>
      <c r="V446" s="119"/>
      <c r="W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K446" s="32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S446"/>
      <c r="CT446"/>
      <c r="CU446"/>
      <c r="CV446"/>
      <c r="CW446"/>
      <c r="CX446"/>
      <c r="CY446"/>
      <c r="CZ446"/>
      <c r="DA446"/>
    </row>
    <row r="447" spans="1:105" x14ac:dyDescent="0.25">
      <c r="A447" s="128"/>
      <c r="B447" s="109"/>
      <c r="C447" s="109"/>
      <c r="D447" s="129"/>
      <c r="E447" s="42"/>
      <c r="P447" s="119"/>
      <c r="S447" s="119"/>
      <c r="T447" s="119"/>
      <c r="U447" s="119"/>
      <c r="V447" s="119"/>
      <c r="W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K447" s="32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S447"/>
      <c r="CT447"/>
      <c r="CU447"/>
      <c r="CV447"/>
      <c r="CW447"/>
      <c r="CX447"/>
      <c r="CY447"/>
      <c r="CZ447"/>
      <c r="DA447"/>
    </row>
    <row r="448" spans="1:105" x14ac:dyDescent="0.25">
      <c r="A448" s="128"/>
      <c r="B448" s="109"/>
      <c r="C448" s="109"/>
      <c r="D448" s="129"/>
      <c r="E448" s="42"/>
      <c r="P448" s="119"/>
      <c r="S448" s="119"/>
      <c r="T448" s="119"/>
      <c r="U448" s="119"/>
      <c r="V448" s="119"/>
      <c r="W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K448" s="32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S448"/>
      <c r="CT448"/>
      <c r="CU448"/>
      <c r="CV448"/>
      <c r="CW448"/>
      <c r="CX448"/>
      <c r="CY448"/>
      <c r="CZ448"/>
      <c r="DA448"/>
    </row>
    <row r="449" spans="1:105" x14ac:dyDescent="0.25">
      <c r="A449" s="128"/>
      <c r="B449" s="109"/>
      <c r="C449" s="109"/>
      <c r="D449" s="129"/>
      <c r="E449" s="42"/>
      <c r="P449" s="119"/>
      <c r="S449" s="119"/>
      <c r="T449" s="119"/>
      <c r="U449" s="119"/>
      <c r="V449" s="119"/>
      <c r="W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K449" s="32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S449"/>
      <c r="CT449"/>
      <c r="CU449"/>
      <c r="CV449"/>
      <c r="CW449"/>
      <c r="CX449"/>
      <c r="CY449"/>
      <c r="CZ449"/>
      <c r="DA449"/>
    </row>
    <row r="450" spans="1:105" x14ac:dyDescent="0.25">
      <c r="A450" s="128"/>
      <c r="B450" s="109"/>
      <c r="C450" s="109"/>
      <c r="D450" s="129"/>
      <c r="E450" s="42"/>
      <c r="P450" s="119"/>
      <c r="S450" s="119"/>
      <c r="T450" s="119"/>
      <c r="U450" s="119"/>
      <c r="V450" s="119"/>
      <c r="W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K450" s="32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S450"/>
      <c r="CT450"/>
      <c r="CU450"/>
      <c r="CV450"/>
      <c r="CW450"/>
      <c r="CX450"/>
      <c r="CY450"/>
      <c r="CZ450"/>
      <c r="DA450"/>
    </row>
    <row r="451" spans="1:105" x14ac:dyDescent="0.25">
      <c r="A451" s="128"/>
      <c r="B451" s="109"/>
      <c r="C451" s="109"/>
      <c r="D451" s="129"/>
      <c r="E451" s="42"/>
      <c r="P451" s="119"/>
      <c r="S451" s="119"/>
      <c r="T451" s="119"/>
      <c r="U451" s="119"/>
      <c r="V451" s="119"/>
      <c r="W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K451" s="32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S451"/>
      <c r="CT451"/>
      <c r="CU451"/>
      <c r="CV451"/>
      <c r="CW451"/>
      <c r="CX451"/>
      <c r="CY451"/>
      <c r="CZ451"/>
      <c r="DA451"/>
    </row>
    <row r="452" spans="1:105" x14ac:dyDescent="0.25">
      <c r="A452" s="128"/>
      <c r="B452" s="109"/>
      <c r="C452" s="109"/>
      <c r="D452" s="129"/>
      <c r="E452" s="42"/>
      <c r="P452" s="119"/>
      <c r="S452" s="119"/>
      <c r="T452" s="119"/>
      <c r="U452" s="119"/>
      <c r="V452" s="119"/>
      <c r="W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K452" s="3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S452"/>
      <c r="CT452"/>
      <c r="CU452"/>
      <c r="CV452"/>
      <c r="CW452"/>
      <c r="CX452"/>
      <c r="CY452"/>
      <c r="CZ452"/>
      <c r="DA452"/>
    </row>
    <row r="453" spans="1:105" x14ac:dyDescent="0.25">
      <c r="A453" s="128"/>
      <c r="B453" s="109"/>
      <c r="C453" s="109"/>
      <c r="D453" s="129"/>
      <c r="E453" s="42"/>
      <c r="P453" s="119"/>
      <c r="S453" s="119"/>
      <c r="T453" s="119"/>
      <c r="U453" s="119"/>
      <c r="V453" s="119"/>
      <c r="W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K453" s="32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S453"/>
      <c r="CT453"/>
      <c r="CU453"/>
      <c r="CV453"/>
      <c r="CW453"/>
      <c r="CX453"/>
      <c r="CY453"/>
      <c r="CZ453"/>
      <c r="DA453"/>
    </row>
    <row r="454" spans="1:105" x14ac:dyDescent="0.25">
      <c r="A454" s="128"/>
      <c r="B454" s="109"/>
      <c r="C454" s="109"/>
      <c r="D454" s="129"/>
      <c r="E454" s="42"/>
      <c r="P454" s="119"/>
      <c r="S454" s="119"/>
      <c r="T454" s="119"/>
      <c r="U454" s="119"/>
      <c r="V454" s="119"/>
      <c r="W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K454" s="32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S454"/>
      <c r="CT454"/>
      <c r="CU454"/>
      <c r="CV454"/>
      <c r="CW454"/>
      <c r="CX454"/>
      <c r="CY454"/>
      <c r="CZ454"/>
      <c r="DA454"/>
    </row>
    <row r="455" spans="1:105" x14ac:dyDescent="0.25">
      <c r="A455" s="128"/>
      <c r="B455" s="109"/>
      <c r="C455" s="109"/>
      <c r="D455" s="129"/>
      <c r="E455" s="42"/>
      <c r="P455" s="119"/>
      <c r="S455" s="119"/>
      <c r="T455" s="119"/>
      <c r="U455" s="119"/>
      <c r="V455" s="119"/>
      <c r="W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K455" s="32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S455"/>
      <c r="CT455"/>
      <c r="CU455"/>
      <c r="CV455"/>
      <c r="CW455"/>
      <c r="CX455"/>
      <c r="CY455"/>
      <c r="CZ455"/>
      <c r="DA455"/>
    </row>
    <row r="456" spans="1:105" x14ac:dyDescent="0.25">
      <c r="A456" s="128"/>
      <c r="B456" s="109"/>
      <c r="C456" s="109"/>
      <c r="D456" s="129"/>
      <c r="E456" s="42"/>
      <c r="P456" s="119"/>
      <c r="S456" s="119"/>
      <c r="T456" s="119"/>
      <c r="U456" s="119"/>
      <c r="V456" s="119"/>
      <c r="W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K456" s="32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S456"/>
      <c r="CT456"/>
      <c r="CU456"/>
      <c r="CV456"/>
      <c r="CW456"/>
      <c r="CX456"/>
      <c r="CY456"/>
      <c r="CZ456"/>
      <c r="DA456"/>
    </row>
    <row r="457" spans="1:105" x14ac:dyDescent="0.25">
      <c r="A457" s="128"/>
      <c r="B457" s="109"/>
      <c r="C457" s="109"/>
      <c r="D457" s="129"/>
      <c r="E457" s="42"/>
      <c r="P457" s="119"/>
      <c r="S457" s="119"/>
      <c r="T457" s="119"/>
      <c r="U457" s="119"/>
      <c r="V457" s="119"/>
      <c r="W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K457" s="32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S457"/>
      <c r="CT457"/>
      <c r="CU457"/>
      <c r="CV457"/>
      <c r="CW457"/>
      <c r="CX457"/>
      <c r="CY457"/>
      <c r="CZ457"/>
      <c r="DA457"/>
    </row>
    <row r="458" spans="1:105" x14ac:dyDescent="0.25">
      <c r="A458" s="128"/>
      <c r="B458" s="109"/>
      <c r="C458" s="109"/>
      <c r="D458" s="129"/>
      <c r="E458" s="42"/>
      <c r="P458" s="119"/>
      <c r="S458" s="119"/>
      <c r="T458" s="119"/>
      <c r="U458" s="119"/>
      <c r="V458" s="119"/>
      <c r="W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K458" s="32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S458"/>
      <c r="CT458"/>
      <c r="CU458"/>
      <c r="CV458"/>
      <c r="CW458"/>
      <c r="CX458"/>
      <c r="CY458"/>
      <c r="CZ458"/>
      <c r="DA458"/>
    </row>
    <row r="459" spans="1:105" x14ac:dyDescent="0.25">
      <c r="A459" s="128"/>
      <c r="B459" s="109"/>
      <c r="C459" s="109"/>
      <c r="D459" s="129"/>
      <c r="E459" s="42"/>
      <c r="P459" s="119"/>
      <c r="S459" s="119"/>
      <c r="T459" s="119"/>
      <c r="U459" s="119"/>
      <c r="V459" s="119"/>
      <c r="W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K459" s="32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S459"/>
      <c r="CT459"/>
      <c r="CU459"/>
      <c r="CV459"/>
      <c r="CW459"/>
      <c r="CX459"/>
      <c r="CY459"/>
      <c r="CZ459"/>
      <c r="DA459"/>
    </row>
    <row r="460" spans="1:105" x14ac:dyDescent="0.25">
      <c r="A460" s="128"/>
      <c r="B460" s="109"/>
      <c r="C460" s="109"/>
      <c r="D460" s="129"/>
      <c r="E460" s="42"/>
      <c r="P460" s="119"/>
      <c r="S460" s="119"/>
      <c r="T460" s="119"/>
      <c r="U460" s="119"/>
      <c r="V460" s="119"/>
      <c r="W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K460" s="32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S460"/>
      <c r="CT460"/>
      <c r="CU460"/>
      <c r="CV460"/>
      <c r="CW460"/>
      <c r="CX460"/>
      <c r="CY460"/>
      <c r="CZ460"/>
      <c r="DA460"/>
    </row>
    <row r="461" spans="1:105" x14ac:dyDescent="0.25">
      <c r="A461" s="128"/>
      <c r="B461" s="109"/>
      <c r="C461" s="109"/>
      <c r="D461" s="129"/>
      <c r="E461" s="42"/>
      <c r="P461" s="119"/>
      <c r="S461" s="119"/>
      <c r="T461" s="119"/>
      <c r="U461" s="119"/>
      <c r="V461" s="119"/>
      <c r="W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K461" s="32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S461"/>
      <c r="CT461"/>
      <c r="CU461"/>
      <c r="CV461"/>
      <c r="CW461"/>
      <c r="CX461"/>
      <c r="CY461"/>
      <c r="CZ461"/>
      <c r="DA461"/>
    </row>
    <row r="462" spans="1:105" x14ac:dyDescent="0.25">
      <c r="A462" s="128"/>
      <c r="B462" s="109"/>
      <c r="C462" s="109"/>
      <c r="D462" s="129"/>
      <c r="E462" s="42"/>
      <c r="P462" s="119"/>
      <c r="S462" s="119"/>
      <c r="T462" s="119"/>
      <c r="U462" s="119"/>
      <c r="V462" s="119"/>
      <c r="W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K462" s="3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S462"/>
      <c r="CT462"/>
      <c r="CU462"/>
      <c r="CV462"/>
      <c r="CW462"/>
      <c r="CX462"/>
      <c r="CY462"/>
      <c r="CZ462"/>
      <c r="DA462"/>
    </row>
    <row r="463" spans="1:105" x14ac:dyDescent="0.25">
      <c r="A463" s="128"/>
      <c r="B463" s="109"/>
      <c r="C463" s="109"/>
      <c r="D463" s="129"/>
      <c r="E463" s="42"/>
      <c r="P463" s="119"/>
      <c r="S463" s="119"/>
      <c r="T463" s="119"/>
      <c r="U463" s="119"/>
      <c r="V463" s="119"/>
      <c r="W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K463" s="32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S463"/>
      <c r="CT463"/>
      <c r="CU463"/>
      <c r="CV463"/>
      <c r="CW463"/>
      <c r="CX463"/>
      <c r="CY463"/>
      <c r="CZ463"/>
      <c r="DA463"/>
    </row>
    <row r="464" spans="1:105" x14ac:dyDescent="0.25">
      <c r="A464" s="128"/>
      <c r="B464" s="109"/>
      <c r="C464" s="109"/>
      <c r="D464" s="129"/>
      <c r="E464" s="42"/>
      <c r="P464" s="119"/>
      <c r="S464" s="119"/>
      <c r="T464" s="119"/>
      <c r="U464" s="119"/>
      <c r="V464" s="119"/>
      <c r="W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K464" s="32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S464"/>
      <c r="CT464"/>
      <c r="CU464"/>
      <c r="CV464"/>
      <c r="CW464"/>
      <c r="CX464"/>
      <c r="CY464"/>
      <c r="CZ464"/>
      <c r="DA464"/>
    </row>
    <row r="465" spans="1:105" x14ac:dyDescent="0.25">
      <c r="A465" s="128"/>
      <c r="B465" s="109"/>
      <c r="C465" s="109"/>
      <c r="D465" s="129"/>
      <c r="E465" s="42"/>
      <c r="P465" s="119"/>
      <c r="S465" s="119"/>
      <c r="T465" s="119"/>
      <c r="U465" s="119"/>
      <c r="V465" s="119"/>
      <c r="W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K465" s="32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S465"/>
      <c r="CT465"/>
      <c r="CU465"/>
      <c r="CV465"/>
      <c r="CW465"/>
      <c r="CX465"/>
      <c r="CY465"/>
      <c r="CZ465"/>
      <c r="DA465"/>
    </row>
    <row r="466" spans="1:105" x14ac:dyDescent="0.25">
      <c r="A466" s="128"/>
      <c r="B466" s="109"/>
      <c r="C466" s="109"/>
      <c r="D466" s="129"/>
      <c r="E466" s="42"/>
      <c r="P466" s="119"/>
      <c r="S466" s="119"/>
      <c r="T466" s="119"/>
      <c r="U466" s="119"/>
      <c r="V466" s="119"/>
      <c r="W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K466" s="32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S466"/>
      <c r="CT466"/>
      <c r="CU466"/>
      <c r="CV466"/>
      <c r="CW466"/>
      <c r="CX466"/>
      <c r="CY466"/>
      <c r="CZ466"/>
      <c r="DA466"/>
    </row>
    <row r="467" spans="1:105" x14ac:dyDescent="0.25">
      <c r="A467" s="128"/>
      <c r="B467" s="109"/>
      <c r="C467" s="109"/>
      <c r="D467" s="129"/>
      <c r="E467" s="42"/>
      <c r="P467" s="119"/>
      <c r="S467" s="119"/>
      <c r="T467" s="119"/>
      <c r="U467" s="119"/>
      <c r="V467" s="119"/>
      <c r="W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K467" s="32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S467"/>
      <c r="CT467"/>
      <c r="CU467"/>
      <c r="CV467"/>
      <c r="CW467"/>
      <c r="CX467"/>
      <c r="CY467"/>
      <c r="CZ467"/>
      <c r="DA467"/>
    </row>
    <row r="468" spans="1:105" x14ac:dyDescent="0.25">
      <c r="A468" s="128"/>
      <c r="B468" s="109"/>
      <c r="C468" s="109"/>
      <c r="D468" s="129"/>
      <c r="E468" s="42"/>
      <c r="P468" s="119"/>
      <c r="S468" s="119"/>
      <c r="T468" s="119"/>
      <c r="U468" s="119"/>
      <c r="V468" s="119"/>
      <c r="W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K468" s="32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S468"/>
      <c r="CT468"/>
      <c r="CU468"/>
      <c r="CV468"/>
      <c r="CW468"/>
      <c r="CX468"/>
      <c r="CY468"/>
      <c r="CZ468"/>
      <c r="DA468"/>
    </row>
    <row r="469" spans="1:105" x14ac:dyDescent="0.25">
      <c r="A469" s="128"/>
      <c r="B469" s="109"/>
      <c r="C469" s="109"/>
      <c r="D469" s="129"/>
      <c r="E469" s="42"/>
      <c r="P469" s="119"/>
      <c r="S469" s="119"/>
      <c r="T469" s="119"/>
      <c r="U469" s="119"/>
      <c r="V469" s="119"/>
      <c r="W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K469" s="32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S469"/>
      <c r="CT469"/>
      <c r="CU469"/>
      <c r="CV469"/>
      <c r="CW469"/>
      <c r="CX469"/>
      <c r="CY469"/>
      <c r="CZ469"/>
      <c r="DA469"/>
    </row>
    <row r="470" spans="1:105" x14ac:dyDescent="0.25">
      <c r="A470" s="128"/>
      <c r="B470" s="109"/>
      <c r="C470" s="109"/>
      <c r="D470" s="129"/>
      <c r="E470" s="42"/>
      <c r="P470" s="119"/>
      <c r="S470" s="119"/>
      <c r="T470" s="119"/>
      <c r="U470" s="119"/>
      <c r="V470" s="119"/>
      <c r="W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K470" s="32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S470"/>
      <c r="CT470"/>
      <c r="CU470"/>
      <c r="CV470"/>
      <c r="CW470"/>
      <c r="CX470"/>
      <c r="CY470"/>
      <c r="CZ470"/>
      <c r="DA470"/>
    </row>
    <row r="471" spans="1:105" x14ac:dyDescent="0.25">
      <c r="A471" s="128"/>
      <c r="B471" s="109"/>
      <c r="C471" s="109"/>
      <c r="D471" s="129"/>
      <c r="E471" s="42"/>
      <c r="P471" s="119"/>
      <c r="S471" s="119"/>
      <c r="T471" s="119"/>
      <c r="U471" s="119"/>
      <c r="V471" s="119"/>
      <c r="W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K471" s="32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S471"/>
      <c r="CT471"/>
      <c r="CU471"/>
      <c r="CV471"/>
      <c r="CW471"/>
      <c r="CX471"/>
      <c r="CY471"/>
      <c r="CZ471"/>
      <c r="DA471"/>
    </row>
    <row r="472" spans="1:105" x14ac:dyDescent="0.25">
      <c r="A472" s="128"/>
      <c r="B472" s="109"/>
      <c r="C472" s="109"/>
      <c r="D472" s="129"/>
      <c r="E472" s="42"/>
      <c r="P472" s="119"/>
      <c r="S472" s="119"/>
      <c r="T472" s="119"/>
      <c r="U472" s="119"/>
      <c r="V472" s="119"/>
      <c r="W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K472" s="3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S472"/>
      <c r="CT472"/>
      <c r="CU472"/>
      <c r="CV472"/>
      <c r="CW472"/>
      <c r="CX472"/>
      <c r="CY472"/>
      <c r="CZ472"/>
      <c r="DA472"/>
    </row>
    <row r="473" spans="1:105" x14ac:dyDescent="0.25">
      <c r="A473" s="128"/>
      <c r="B473" s="109"/>
      <c r="C473" s="109"/>
      <c r="D473" s="129"/>
      <c r="E473" s="42"/>
      <c r="P473" s="119"/>
      <c r="S473" s="119"/>
      <c r="T473" s="119"/>
      <c r="U473" s="119"/>
      <c r="V473" s="119"/>
      <c r="W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K473" s="32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S473"/>
      <c r="CT473"/>
      <c r="CU473"/>
      <c r="CV473"/>
      <c r="CW473"/>
      <c r="CX473"/>
      <c r="CY473"/>
      <c r="CZ473"/>
      <c r="DA473"/>
    </row>
    <row r="474" spans="1:105" x14ac:dyDescent="0.25">
      <c r="A474" s="128"/>
      <c r="B474" s="109"/>
      <c r="C474" s="109"/>
      <c r="D474" s="129"/>
      <c r="E474" s="42"/>
      <c r="P474" s="119"/>
      <c r="S474" s="119"/>
      <c r="T474" s="119"/>
      <c r="U474" s="119"/>
      <c r="V474" s="119"/>
      <c r="W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K474" s="32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S474"/>
      <c r="CT474"/>
      <c r="CU474"/>
      <c r="CV474"/>
      <c r="CW474"/>
      <c r="CX474"/>
      <c r="CY474"/>
      <c r="CZ474"/>
      <c r="DA474"/>
    </row>
    <row r="475" spans="1:105" x14ac:dyDescent="0.25">
      <c r="A475" s="128"/>
      <c r="B475" s="109"/>
      <c r="C475" s="109"/>
      <c r="D475" s="129"/>
      <c r="E475" s="42"/>
      <c r="P475" s="119"/>
      <c r="S475" s="119"/>
      <c r="T475" s="119"/>
      <c r="U475" s="119"/>
      <c r="V475" s="119"/>
      <c r="W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K475" s="32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S475"/>
      <c r="CT475"/>
      <c r="CU475"/>
      <c r="CV475"/>
      <c r="CW475"/>
      <c r="CX475"/>
      <c r="CY475"/>
      <c r="CZ475"/>
      <c r="DA475"/>
    </row>
    <row r="476" spans="1:105" x14ac:dyDescent="0.25">
      <c r="A476" s="128"/>
      <c r="B476" s="109"/>
      <c r="C476" s="109"/>
      <c r="D476" s="129"/>
      <c r="E476" s="42"/>
      <c r="P476" s="119"/>
      <c r="S476" s="119"/>
      <c r="T476" s="119"/>
      <c r="U476" s="119"/>
      <c r="V476" s="119"/>
      <c r="W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K476" s="32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S476"/>
      <c r="CT476"/>
      <c r="CU476"/>
      <c r="CV476"/>
      <c r="CW476"/>
      <c r="CX476"/>
      <c r="CY476"/>
      <c r="CZ476"/>
      <c r="DA476"/>
    </row>
    <row r="477" spans="1:105" x14ac:dyDescent="0.25">
      <c r="A477" s="128"/>
      <c r="B477" s="109"/>
      <c r="C477" s="109"/>
      <c r="D477" s="129"/>
      <c r="E477" s="42"/>
      <c r="P477" s="119"/>
      <c r="S477" s="119"/>
      <c r="T477" s="119"/>
      <c r="U477" s="119"/>
      <c r="V477" s="119"/>
      <c r="W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K477" s="32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S477"/>
      <c r="CT477"/>
      <c r="CU477"/>
      <c r="CV477"/>
      <c r="CW477"/>
      <c r="CX477"/>
      <c r="CY477"/>
      <c r="CZ477"/>
      <c r="DA477"/>
    </row>
    <row r="478" spans="1:105" x14ac:dyDescent="0.25">
      <c r="A478" s="128"/>
      <c r="B478" s="109"/>
      <c r="C478" s="109"/>
      <c r="D478" s="129"/>
      <c r="E478" s="42"/>
      <c r="P478" s="119"/>
      <c r="S478" s="119"/>
      <c r="T478" s="119"/>
      <c r="U478" s="119"/>
      <c r="V478" s="119"/>
      <c r="W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K478" s="32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S478"/>
      <c r="CT478"/>
      <c r="CU478"/>
      <c r="CV478"/>
      <c r="CW478"/>
      <c r="CX478"/>
      <c r="CY478"/>
      <c r="CZ478"/>
      <c r="DA478"/>
    </row>
    <row r="479" spans="1:105" x14ac:dyDescent="0.25">
      <c r="A479" s="128"/>
      <c r="B479" s="109"/>
      <c r="C479" s="109"/>
      <c r="D479" s="129"/>
      <c r="E479" s="42"/>
      <c r="P479" s="119"/>
      <c r="S479" s="119"/>
      <c r="T479" s="119"/>
      <c r="U479" s="119"/>
      <c r="V479" s="119"/>
      <c r="W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K479" s="32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S479"/>
      <c r="CT479"/>
      <c r="CU479"/>
      <c r="CV479"/>
      <c r="CW479"/>
      <c r="CX479"/>
      <c r="CY479"/>
      <c r="CZ479"/>
      <c r="DA479"/>
    </row>
    <row r="480" spans="1:105" x14ac:dyDescent="0.25">
      <c r="A480" s="128"/>
      <c r="B480" s="109"/>
      <c r="C480" s="109"/>
      <c r="D480" s="129"/>
      <c r="E480" s="42"/>
      <c r="P480" s="119"/>
      <c r="S480" s="119"/>
      <c r="T480" s="119"/>
      <c r="U480" s="119"/>
      <c r="V480" s="119"/>
      <c r="W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K480" s="32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S480"/>
      <c r="CT480"/>
      <c r="CU480"/>
      <c r="CV480"/>
      <c r="CW480"/>
      <c r="CX480"/>
      <c r="CY480"/>
      <c r="CZ480"/>
      <c r="DA480"/>
    </row>
    <row r="481" spans="1:105" x14ac:dyDescent="0.25">
      <c r="A481" s="128"/>
      <c r="B481" s="109"/>
      <c r="C481" s="109"/>
      <c r="D481" s="129"/>
      <c r="E481" s="42"/>
      <c r="P481" s="119"/>
      <c r="S481" s="119"/>
      <c r="T481" s="119"/>
      <c r="U481" s="119"/>
      <c r="V481" s="119"/>
      <c r="W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K481" s="32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S481"/>
      <c r="CT481"/>
      <c r="CU481"/>
      <c r="CV481"/>
      <c r="CW481"/>
      <c r="CX481"/>
      <c r="CY481"/>
      <c r="CZ481"/>
      <c r="DA481"/>
    </row>
    <row r="482" spans="1:105" x14ac:dyDescent="0.25">
      <c r="A482" s="128"/>
      <c r="B482" s="109"/>
      <c r="C482" s="109"/>
      <c r="D482" s="129"/>
      <c r="E482" s="42"/>
      <c r="P482" s="119"/>
      <c r="S482" s="119"/>
      <c r="T482" s="119"/>
      <c r="U482" s="119"/>
      <c r="V482" s="119"/>
      <c r="W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K482" s="3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S482"/>
      <c r="CT482"/>
      <c r="CU482"/>
      <c r="CV482"/>
      <c r="CW482"/>
      <c r="CX482"/>
      <c r="CY482"/>
      <c r="CZ482"/>
      <c r="DA482"/>
    </row>
    <row r="483" spans="1:105" x14ac:dyDescent="0.25">
      <c r="A483" s="128"/>
      <c r="B483" s="109"/>
      <c r="C483" s="109"/>
      <c r="D483" s="129"/>
      <c r="E483" s="42"/>
      <c r="P483" s="119"/>
      <c r="S483" s="119"/>
      <c r="T483" s="119"/>
      <c r="U483" s="119"/>
      <c r="V483" s="119"/>
      <c r="W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K483" s="32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S483"/>
      <c r="CT483"/>
      <c r="CU483"/>
      <c r="CV483"/>
      <c r="CW483"/>
      <c r="CX483"/>
      <c r="CY483"/>
      <c r="CZ483"/>
      <c r="DA483"/>
    </row>
    <row r="484" spans="1:105" x14ac:dyDescent="0.25">
      <c r="A484" s="128"/>
      <c r="B484" s="109"/>
      <c r="C484" s="109"/>
      <c r="D484" s="129"/>
      <c r="E484" s="42"/>
      <c r="P484" s="119"/>
      <c r="S484" s="119"/>
      <c r="T484" s="119"/>
      <c r="U484" s="119"/>
      <c r="V484" s="119"/>
      <c r="W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K484" s="32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S484"/>
      <c r="CT484"/>
      <c r="CU484"/>
      <c r="CV484"/>
      <c r="CW484"/>
      <c r="CX484"/>
      <c r="CY484"/>
      <c r="CZ484"/>
      <c r="DA484"/>
    </row>
    <row r="485" spans="1:105" x14ac:dyDescent="0.25">
      <c r="A485" s="128"/>
      <c r="B485" s="109"/>
      <c r="C485" s="109"/>
      <c r="D485" s="129"/>
      <c r="E485" s="42"/>
      <c r="P485" s="119"/>
      <c r="S485" s="119"/>
      <c r="T485" s="119"/>
      <c r="U485" s="119"/>
      <c r="V485" s="119"/>
      <c r="W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K485" s="32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S485"/>
      <c r="CT485"/>
      <c r="CU485"/>
      <c r="CV485"/>
      <c r="CW485"/>
      <c r="CX485"/>
      <c r="CY485"/>
      <c r="CZ485"/>
      <c r="DA485"/>
    </row>
    <row r="486" spans="1:105" x14ac:dyDescent="0.25">
      <c r="A486" s="128"/>
      <c r="B486" s="109"/>
      <c r="C486" s="109"/>
      <c r="D486" s="129"/>
      <c r="E486" s="42"/>
      <c r="P486" s="119"/>
      <c r="S486" s="119"/>
      <c r="T486" s="119"/>
      <c r="U486" s="119"/>
      <c r="V486" s="119"/>
      <c r="W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K486" s="32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S486"/>
      <c r="CT486"/>
      <c r="CU486"/>
      <c r="CV486"/>
      <c r="CW486"/>
      <c r="CX486"/>
      <c r="CY486"/>
      <c r="CZ486"/>
      <c r="DA486"/>
    </row>
    <row r="487" spans="1:105" x14ac:dyDescent="0.25">
      <c r="A487" s="128"/>
      <c r="B487" s="109"/>
      <c r="C487" s="109"/>
      <c r="D487" s="129"/>
      <c r="E487" s="42"/>
      <c r="P487" s="119"/>
      <c r="S487" s="119"/>
      <c r="T487" s="119"/>
      <c r="U487" s="119"/>
      <c r="V487" s="119"/>
      <c r="W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K487" s="32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S487"/>
      <c r="CT487"/>
      <c r="CU487"/>
      <c r="CV487"/>
      <c r="CW487"/>
      <c r="CX487"/>
      <c r="CY487"/>
      <c r="CZ487"/>
      <c r="DA487"/>
    </row>
    <row r="488" spans="1:105" x14ac:dyDescent="0.25">
      <c r="A488" s="128"/>
      <c r="B488" s="109"/>
      <c r="C488" s="109"/>
      <c r="D488" s="129"/>
      <c r="E488" s="42"/>
      <c r="P488" s="119"/>
      <c r="S488" s="119"/>
      <c r="T488" s="119"/>
      <c r="U488" s="119"/>
      <c r="V488" s="119"/>
      <c r="W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K488" s="32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S488"/>
      <c r="CT488"/>
      <c r="CU488"/>
      <c r="CV488"/>
      <c r="CW488"/>
      <c r="CX488"/>
      <c r="CY488"/>
      <c r="CZ488"/>
      <c r="DA488"/>
    </row>
    <row r="489" spans="1:105" x14ac:dyDescent="0.25">
      <c r="A489" s="128"/>
      <c r="B489" s="109"/>
      <c r="C489" s="109"/>
      <c r="D489" s="129"/>
      <c r="E489" s="42"/>
      <c r="P489" s="119"/>
      <c r="S489" s="119"/>
      <c r="T489" s="119"/>
      <c r="U489" s="119"/>
      <c r="V489" s="119"/>
      <c r="W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K489" s="32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S489"/>
      <c r="CT489"/>
      <c r="CU489"/>
      <c r="CV489"/>
      <c r="CW489"/>
      <c r="CX489"/>
      <c r="CY489"/>
      <c r="CZ489"/>
      <c r="DA489"/>
    </row>
    <row r="490" spans="1:105" x14ac:dyDescent="0.25">
      <c r="A490" s="128"/>
      <c r="B490" s="109"/>
      <c r="C490" s="109"/>
      <c r="D490" s="129"/>
      <c r="E490" s="42"/>
      <c r="P490" s="119"/>
      <c r="S490" s="119"/>
      <c r="T490" s="119"/>
      <c r="U490" s="119"/>
      <c r="V490" s="119"/>
      <c r="W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K490" s="32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S490"/>
      <c r="CT490"/>
      <c r="CU490"/>
      <c r="CV490"/>
      <c r="CW490"/>
      <c r="CX490"/>
      <c r="CY490"/>
      <c r="CZ490"/>
      <c r="DA490"/>
    </row>
    <row r="491" spans="1:105" x14ac:dyDescent="0.25">
      <c r="A491" s="128"/>
      <c r="B491" s="109"/>
      <c r="C491" s="109"/>
      <c r="D491" s="129"/>
      <c r="E491" s="42"/>
      <c r="P491" s="119"/>
      <c r="S491" s="119"/>
      <c r="T491" s="119"/>
      <c r="U491" s="119"/>
      <c r="V491" s="119"/>
      <c r="W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K491" s="32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S491"/>
      <c r="CT491"/>
      <c r="CU491"/>
      <c r="CV491"/>
      <c r="CW491"/>
      <c r="CX491"/>
      <c r="CY491"/>
      <c r="CZ491"/>
      <c r="DA491"/>
    </row>
    <row r="492" spans="1:105" x14ac:dyDescent="0.25">
      <c r="A492" s="128"/>
      <c r="B492" s="109"/>
      <c r="C492" s="109"/>
      <c r="D492" s="129"/>
      <c r="E492" s="42"/>
      <c r="P492" s="119"/>
      <c r="S492" s="119"/>
      <c r="T492" s="119"/>
      <c r="U492" s="119"/>
      <c r="V492" s="119"/>
      <c r="W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K492" s="3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S492"/>
      <c r="CT492"/>
      <c r="CU492"/>
      <c r="CV492"/>
      <c r="CW492"/>
      <c r="CX492"/>
      <c r="CY492"/>
      <c r="CZ492"/>
      <c r="DA492"/>
    </row>
    <row r="493" spans="1:105" x14ac:dyDescent="0.25">
      <c r="A493" s="128"/>
      <c r="B493" s="109"/>
      <c r="C493" s="109"/>
      <c r="D493" s="129"/>
      <c r="E493" s="42"/>
      <c r="P493" s="119"/>
      <c r="S493" s="119"/>
      <c r="T493" s="119"/>
      <c r="U493" s="119"/>
      <c r="V493" s="119"/>
      <c r="W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K493" s="32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S493"/>
      <c r="CT493"/>
      <c r="CU493"/>
      <c r="CV493"/>
      <c r="CW493"/>
      <c r="CX493"/>
      <c r="CY493"/>
      <c r="CZ493"/>
      <c r="DA493"/>
    </row>
    <row r="494" spans="1:105" x14ac:dyDescent="0.25">
      <c r="A494" s="128"/>
      <c r="B494" s="109"/>
      <c r="C494" s="109"/>
      <c r="D494" s="129"/>
      <c r="E494" s="42"/>
      <c r="P494" s="119"/>
      <c r="S494" s="119"/>
      <c r="T494" s="119"/>
      <c r="U494" s="119"/>
      <c r="V494" s="119"/>
      <c r="W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K494" s="32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S494"/>
      <c r="CT494"/>
      <c r="CU494"/>
      <c r="CV494"/>
      <c r="CW494"/>
      <c r="CX494"/>
      <c r="CY494"/>
      <c r="CZ494"/>
      <c r="DA494"/>
    </row>
    <row r="495" spans="1:105" x14ac:dyDescent="0.25">
      <c r="A495" s="128"/>
      <c r="B495" s="109"/>
      <c r="C495" s="109"/>
      <c r="D495" s="129"/>
      <c r="E495" s="42"/>
      <c r="P495" s="119"/>
      <c r="S495" s="119"/>
      <c r="T495" s="119"/>
      <c r="U495" s="119"/>
      <c r="V495" s="119"/>
      <c r="W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K495" s="32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S495"/>
      <c r="CT495"/>
      <c r="CU495"/>
      <c r="CV495"/>
      <c r="CW495"/>
      <c r="CX495"/>
      <c r="CY495"/>
      <c r="CZ495"/>
      <c r="DA495"/>
    </row>
    <row r="496" spans="1:105" x14ac:dyDescent="0.25">
      <c r="A496" s="128"/>
      <c r="B496" s="109"/>
      <c r="C496" s="109"/>
      <c r="D496" s="129"/>
      <c r="E496" s="42"/>
      <c r="P496" s="119"/>
      <c r="S496" s="119"/>
      <c r="T496" s="119"/>
      <c r="U496" s="119"/>
      <c r="V496" s="119"/>
      <c r="W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K496" s="32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S496"/>
      <c r="CT496"/>
      <c r="CU496"/>
      <c r="CV496"/>
      <c r="CW496"/>
      <c r="CX496"/>
      <c r="CY496"/>
      <c r="CZ496"/>
      <c r="DA496"/>
    </row>
    <row r="497" spans="1:105" x14ac:dyDescent="0.25">
      <c r="A497" s="128"/>
      <c r="B497" s="109"/>
      <c r="C497" s="109"/>
      <c r="D497" s="129"/>
      <c r="E497" s="42"/>
      <c r="P497" s="119"/>
      <c r="S497" s="119"/>
      <c r="T497" s="119"/>
      <c r="U497" s="119"/>
      <c r="V497" s="119"/>
      <c r="W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K497" s="32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S497"/>
      <c r="CT497"/>
      <c r="CU497"/>
      <c r="CV497"/>
      <c r="CW497"/>
      <c r="CX497"/>
      <c r="CY497"/>
      <c r="CZ497"/>
      <c r="DA497"/>
    </row>
    <row r="498" spans="1:105" x14ac:dyDescent="0.25">
      <c r="A498" s="128"/>
      <c r="B498" s="109"/>
      <c r="C498" s="109"/>
      <c r="D498" s="129"/>
      <c r="E498" s="42"/>
      <c r="P498" s="119"/>
      <c r="S498" s="119"/>
      <c r="T498" s="119"/>
      <c r="U498" s="119"/>
      <c r="V498" s="119"/>
      <c r="W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K498" s="32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S498"/>
      <c r="CT498"/>
      <c r="CU498"/>
      <c r="CV498"/>
      <c r="CW498"/>
      <c r="CX498"/>
      <c r="CY498"/>
      <c r="CZ498"/>
      <c r="DA498"/>
    </row>
    <row r="499" spans="1:105" x14ac:dyDescent="0.25">
      <c r="A499" s="128"/>
      <c r="B499" s="109"/>
      <c r="C499" s="109"/>
      <c r="D499" s="129"/>
      <c r="E499" s="42"/>
      <c r="P499" s="119"/>
      <c r="S499" s="119"/>
      <c r="T499" s="119"/>
      <c r="U499" s="119"/>
      <c r="V499" s="119"/>
      <c r="W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K499" s="32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S499"/>
      <c r="CT499"/>
      <c r="CU499"/>
      <c r="CV499"/>
      <c r="CW499"/>
      <c r="CX499"/>
      <c r="CY499"/>
      <c r="CZ499"/>
      <c r="DA499"/>
    </row>
    <row r="500" spans="1:105" x14ac:dyDescent="0.25">
      <c r="A500" s="128"/>
      <c r="B500" s="109"/>
      <c r="C500" s="109"/>
      <c r="D500" s="129"/>
      <c r="E500" s="42"/>
      <c r="P500" s="119"/>
      <c r="S500" s="119"/>
      <c r="T500" s="119"/>
      <c r="U500" s="119"/>
      <c r="V500" s="119"/>
      <c r="W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K500" s="32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S500"/>
      <c r="CT500"/>
      <c r="CU500"/>
      <c r="CV500"/>
      <c r="CW500"/>
      <c r="CX500"/>
      <c r="CY500"/>
      <c r="CZ500"/>
      <c r="DA500"/>
    </row>
    <row r="501" spans="1:105" x14ac:dyDescent="0.25">
      <c r="A501" s="128"/>
      <c r="B501" s="109"/>
      <c r="C501" s="109"/>
      <c r="D501" s="129"/>
      <c r="E501" s="42"/>
      <c r="P501" s="119"/>
      <c r="S501" s="119"/>
      <c r="T501" s="119"/>
      <c r="U501" s="119"/>
      <c r="V501" s="119"/>
      <c r="W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K501" s="32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S501"/>
      <c r="CT501"/>
      <c r="CU501"/>
      <c r="CV501"/>
      <c r="CW501"/>
      <c r="CX501"/>
      <c r="CY501"/>
      <c r="CZ501"/>
      <c r="DA501"/>
    </row>
    <row r="502" spans="1:105" x14ac:dyDescent="0.25">
      <c r="A502" s="128"/>
      <c r="B502" s="109"/>
      <c r="C502" s="109"/>
      <c r="D502" s="129"/>
      <c r="E502" s="42"/>
      <c r="P502" s="119"/>
      <c r="S502" s="119"/>
      <c r="T502" s="119"/>
      <c r="U502" s="119"/>
      <c r="V502" s="119"/>
      <c r="W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K502" s="3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S502"/>
      <c r="CT502"/>
      <c r="CU502"/>
      <c r="CV502"/>
      <c r="CW502"/>
      <c r="CX502"/>
      <c r="CY502"/>
      <c r="CZ502"/>
      <c r="DA502"/>
    </row>
    <row r="503" spans="1:105" x14ac:dyDescent="0.25">
      <c r="A503" s="128"/>
      <c r="B503" s="109"/>
      <c r="C503" s="109"/>
      <c r="D503" s="129"/>
      <c r="E503" s="42"/>
      <c r="P503" s="119"/>
      <c r="S503" s="119"/>
      <c r="T503" s="119"/>
      <c r="U503" s="119"/>
      <c r="V503" s="119"/>
      <c r="W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K503" s="32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S503"/>
      <c r="CT503"/>
      <c r="CU503"/>
      <c r="CV503"/>
      <c r="CW503"/>
      <c r="CX503"/>
      <c r="CY503"/>
      <c r="CZ503"/>
      <c r="DA503"/>
    </row>
    <row r="504" spans="1:105" x14ac:dyDescent="0.25">
      <c r="A504" s="128"/>
      <c r="B504" s="109"/>
      <c r="C504" s="109"/>
      <c r="D504" s="129"/>
      <c r="E504" s="42"/>
      <c r="P504" s="119"/>
      <c r="S504" s="119"/>
      <c r="T504" s="119"/>
      <c r="U504" s="119"/>
      <c r="V504" s="119"/>
      <c r="W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K504" s="32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S504"/>
      <c r="CT504"/>
      <c r="CU504"/>
      <c r="CV504"/>
      <c r="CW504"/>
      <c r="CX504"/>
      <c r="CY504"/>
      <c r="CZ504"/>
      <c r="DA504"/>
    </row>
    <row r="505" spans="1:105" x14ac:dyDescent="0.25">
      <c r="A505" s="128"/>
      <c r="B505" s="109"/>
      <c r="C505" s="109"/>
      <c r="D505" s="129"/>
      <c r="E505" s="42"/>
      <c r="P505" s="119"/>
      <c r="S505" s="119"/>
      <c r="T505" s="119"/>
      <c r="U505" s="119"/>
      <c r="V505" s="119"/>
      <c r="W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K505" s="32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S505"/>
      <c r="CT505"/>
      <c r="CU505"/>
      <c r="CV505"/>
      <c r="CW505"/>
      <c r="CX505"/>
      <c r="CY505"/>
      <c r="CZ505"/>
      <c r="DA505"/>
    </row>
    <row r="506" spans="1:105" x14ac:dyDescent="0.25">
      <c r="A506" s="128"/>
      <c r="B506" s="109"/>
      <c r="C506" s="109"/>
      <c r="D506" s="129"/>
      <c r="E506" s="42"/>
      <c r="P506" s="119"/>
      <c r="S506" s="119"/>
      <c r="T506" s="119"/>
      <c r="U506" s="119"/>
      <c r="V506" s="119"/>
      <c r="W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K506" s="32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S506"/>
      <c r="CT506"/>
      <c r="CU506"/>
      <c r="CV506"/>
      <c r="CW506"/>
      <c r="CX506"/>
      <c r="CY506"/>
      <c r="CZ506"/>
      <c r="DA506"/>
    </row>
    <row r="507" spans="1:105" x14ac:dyDescent="0.25">
      <c r="A507" s="128"/>
      <c r="B507" s="109"/>
      <c r="C507" s="109"/>
      <c r="D507" s="129"/>
      <c r="E507" s="42"/>
      <c r="P507" s="119"/>
      <c r="S507" s="119"/>
      <c r="T507" s="119"/>
      <c r="U507" s="119"/>
      <c r="V507" s="119"/>
      <c r="W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K507" s="32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S507"/>
      <c r="CT507"/>
      <c r="CU507"/>
      <c r="CV507"/>
      <c r="CW507"/>
      <c r="CX507"/>
      <c r="CY507"/>
      <c r="CZ507"/>
      <c r="DA507"/>
    </row>
    <row r="508" spans="1:105" x14ac:dyDescent="0.25">
      <c r="A508" s="128"/>
      <c r="B508" s="109"/>
      <c r="C508" s="109"/>
      <c r="D508" s="129"/>
      <c r="E508" s="42"/>
      <c r="P508" s="119"/>
      <c r="S508" s="119"/>
      <c r="T508" s="119"/>
      <c r="U508" s="119"/>
      <c r="V508" s="119"/>
      <c r="W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K508" s="32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S508"/>
      <c r="CT508"/>
      <c r="CU508"/>
      <c r="CV508"/>
      <c r="CW508"/>
      <c r="CX508"/>
      <c r="CY508"/>
      <c r="CZ508"/>
      <c r="DA508"/>
    </row>
    <row r="509" spans="1:105" x14ac:dyDescent="0.25">
      <c r="A509" s="128"/>
      <c r="B509" s="109"/>
      <c r="C509" s="109"/>
      <c r="D509" s="129"/>
      <c r="E509" s="42"/>
      <c r="P509" s="119"/>
      <c r="S509" s="119"/>
      <c r="T509" s="119"/>
      <c r="U509" s="119"/>
      <c r="V509" s="119"/>
      <c r="W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K509" s="32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S509"/>
      <c r="CT509"/>
      <c r="CU509"/>
      <c r="CV509"/>
      <c r="CW509"/>
      <c r="CX509"/>
      <c r="CY509"/>
      <c r="CZ509"/>
      <c r="DA509"/>
    </row>
    <row r="510" spans="1:105" x14ac:dyDescent="0.25">
      <c r="A510" s="128"/>
      <c r="B510" s="109"/>
      <c r="C510" s="109"/>
      <c r="D510" s="129"/>
      <c r="E510" s="42"/>
      <c r="P510" s="119"/>
      <c r="S510" s="119"/>
      <c r="T510" s="119"/>
      <c r="U510" s="119"/>
      <c r="V510" s="119"/>
      <c r="W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K510" s="32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S510"/>
      <c r="CT510"/>
      <c r="CU510"/>
      <c r="CV510"/>
      <c r="CW510"/>
      <c r="CX510"/>
      <c r="CY510"/>
      <c r="CZ510"/>
      <c r="DA510"/>
    </row>
    <row r="511" spans="1:105" x14ac:dyDescent="0.25">
      <c r="A511" s="128"/>
      <c r="B511" s="109"/>
      <c r="C511" s="109"/>
      <c r="D511" s="129"/>
      <c r="E511" s="42"/>
      <c r="P511" s="119"/>
      <c r="S511" s="119"/>
      <c r="T511" s="119"/>
      <c r="U511" s="119"/>
      <c r="V511" s="119"/>
      <c r="W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K511" s="32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S511"/>
      <c r="CT511"/>
      <c r="CU511"/>
      <c r="CV511"/>
      <c r="CW511"/>
      <c r="CX511"/>
      <c r="CY511"/>
      <c r="CZ511"/>
      <c r="DA511"/>
    </row>
    <row r="512" spans="1:105" x14ac:dyDescent="0.25">
      <c r="A512" s="128"/>
      <c r="B512" s="109"/>
      <c r="C512" s="109"/>
      <c r="D512" s="129"/>
      <c r="E512" s="42"/>
      <c r="P512" s="119"/>
      <c r="S512" s="119"/>
      <c r="T512" s="119"/>
      <c r="U512" s="119"/>
      <c r="V512" s="119"/>
      <c r="W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K512" s="3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S512"/>
      <c r="CT512"/>
      <c r="CU512"/>
      <c r="CV512"/>
      <c r="CW512"/>
      <c r="CX512"/>
      <c r="CY512"/>
      <c r="CZ512"/>
      <c r="DA512"/>
    </row>
    <row r="513" spans="1:105" x14ac:dyDescent="0.25">
      <c r="A513" s="128"/>
      <c r="B513" s="109"/>
      <c r="C513" s="109"/>
      <c r="D513" s="129"/>
      <c r="E513" s="42"/>
      <c r="P513" s="119"/>
      <c r="S513" s="119"/>
      <c r="T513" s="119"/>
      <c r="U513" s="119"/>
      <c r="V513" s="119"/>
      <c r="W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K513" s="32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S513"/>
      <c r="CT513"/>
      <c r="CU513"/>
      <c r="CV513"/>
      <c r="CW513"/>
      <c r="CX513"/>
      <c r="CY513"/>
      <c r="CZ513"/>
      <c r="DA513"/>
    </row>
    <row r="514" spans="1:105" x14ac:dyDescent="0.25">
      <c r="A514" s="128"/>
      <c r="B514" s="109"/>
      <c r="C514" s="109"/>
      <c r="D514" s="129"/>
      <c r="E514" s="42"/>
      <c r="P514" s="119"/>
      <c r="S514" s="119"/>
      <c r="T514" s="119"/>
      <c r="U514" s="119"/>
      <c r="V514" s="119"/>
      <c r="W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K514" s="32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S514"/>
      <c r="CT514"/>
      <c r="CU514"/>
      <c r="CV514"/>
      <c r="CW514"/>
      <c r="CX514"/>
      <c r="CY514"/>
      <c r="CZ514"/>
      <c r="DA514"/>
    </row>
    <row r="515" spans="1:105" x14ac:dyDescent="0.25">
      <c r="A515" s="128"/>
      <c r="B515" s="109"/>
      <c r="C515" s="109"/>
      <c r="D515" s="129"/>
      <c r="E515" s="42"/>
      <c r="P515" s="119"/>
      <c r="S515" s="119"/>
      <c r="T515" s="119"/>
      <c r="U515" s="119"/>
      <c r="V515" s="119"/>
      <c r="W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K515" s="32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S515"/>
      <c r="CT515"/>
      <c r="CU515"/>
      <c r="CV515"/>
      <c r="CW515"/>
      <c r="CX515"/>
      <c r="CY515"/>
      <c r="CZ515"/>
      <c r="DA515"/>
    </row>
    <row r="516" spans="1:105" x14ac:dyDescent="0.25">
      <c r="A516" s="128"/>
      <c r="B516" s="109"/>
      <c r="C516" s="109"/>
      <c r="D516" s="129"/>
      <c r="E516" s="42"/>
      <c r="P516" s="119"/>
      <c r="S516" s="119"/>
      <c r="T516" s="119"/>
      <c r="U516" s="119"/>
      <c r="V516" s="119"/>
      <c r="W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K516" s="32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S516"/>
      <c r="CT516"/>
      <c r="CU516"/>
      <c r="CV516"/>
      <c r="CW516"/>
      <c r="CX516"/>
      <c r="CY516"/>
      <c r="CZ516"/>
      <c r="DA516"/>
    </row>
    <row r="517" spans="1:105" x14ac:dyDescent="0.25">
      <c r="A517" s="128"/>
      <c r="B517" s="109"/>
      <c r="C517" s="109"/>
      <c r="D517" s="129"/>
      <c r="E517" s="42"/>
      <c r="P517" s="119"/>
      <c r="S517" s="119"/>
      <c r="T517" s="119"/>
      <c r="U517" s="119"/>
      <c r="V517" s="119"/>
      <c r="W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K517" s="32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S517"/>
      <c r="CT517"/>
      <c r="CU517"/>
      <c r="CV517"/>
      <c r="CW517"/>
      <c r="CX517"/>
      <c r="CY517"/>
      <c r="CZ517"/>
      <c r="DA517"/>
    </row>
    <row r="518" spans="1:105" x14ac:dyDescent="0.25">
      <c r="A518" s="128"/>
      <c r="B518" s="109"/>
      <c r="C518" s="109"/>
      <c r="D518" s="129"/>
      <c r="E518" s="42"/>
      <c r="P518" s="119"/>
      <c r="S518" s="119"/>
      <c r="T518" s="119"/>
      <c r="U518" s="119"/>
      <c r="V518" s="119"/>
      <c r="W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K518" s="32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S518"/>
      <c r="CT518"/>
      <c r="CU518"/>
      <c r="CV518"/>
      <c r="CW518"/>
      <c r="CX518"/>
      <c r="CY518"/>
      <c r="CZ518"/>
      <c r="DA518"/>
    </row>
    <row r="519" spans="1:105" x14ac:dyDescent="0.25">
      <c r="A519" s="128"/>
      <c r="B519" s="109"/>
      <c r="C519" s="109"/>
      <c r="D519" s="129"/>
      <c r="E519" s="42"/>
      <c r="P519" s="119"/>
      <c r="S519" s="119"/>
      <c r="T519" s="119"/>
      <c r="U519" s="119"/>
      <c r="V519" s="119"/>
      <c r="W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K519" s="32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S519"/>
      <c r="CT519"/>
      <c r="CU519"/>
      <c r="CV519"/>
      <c r="CW519"/>
      <c r="CX519"/>
      <c r="CY519"/>
      <c r="CZ519"/>
      <c r="DA519"/>
    </row>
    <row r="520" spans="1:105" x14ac:dyDescent="0.25">
      <c r="A520" s="128"/>
      <c r="B520" s="109"/>
      <c r="C520" s="109"/>
      <c r="D520" s="129"/>
      <c r="E520" s="42"/>
      <c r="P520" s="119"/>
      <c r="S520" s="119"/>
      <c r="T520" s="119"/>
      <c r="U520" s="119"/>
      <c r="V520" s="119"/>
      <c r="W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K520" s="32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S520"/>
      <c r="CT520"/>
      <c r="CU520"/>
      <c r="CV520"/>
      <c r="CW520"/>
      <c r="CX520"/>
      <c r="CY520"/>
      <c r="CZ520"/>
      <c r="DA520"/>
    </row>
    <row r="521" spans="1:105" x14ac:dyDescent="0.25">
      <c r="A521" s="128"/>
      <c r="B521" s="109"/>
      <c r="C521" s="109"/>
      <c r="D521" s="129"/>
      <c r="E521" s="42"/>
      <c r="P521" s="119"/>
      <c r="S521" s="119"/>
      <c r="T521" s="119"/>
      <c r="U521" s="119"/>
      <c r="V521" s="119"/>
      <c r="W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K521" s="32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S521"/>
      <c r="CT521"/>
      <c r="CU521"/>
      <c r="CV521"/>
      <c r="CW521"/>
      <c r="CX521"/>
      <c r="CY521"/>
      <c r="CZ521"/>
      <c r="DA521"/>
    </row>
    <row r="522" spans="1:105" x14ac:dyDescent="0.25">
      <c r="A522" s="128"/>
      <c r="B522" s="109"/>
      <c r="C522" s="109"/>
      <c r="D522" s="129"/>
      <c r="E522" s="42"/>
      <c r="P522" s="119"/>
      <c r="S522" s="119"/>
      <c r="T522" s="119"/>
      <c r="U522" s="119"/>
      <c r="V522" s="119"/>
      <c r="W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K522" s="3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S522"/>
      <c r="CT522"/>
      <c r="CU522"/>
      <c r="CV522"/>
      <c r="CW522"/>
      <c r="CX522"/>
      <c r="CY522"/>
      <c r="CZ522"/>
      <c r="DA522"/>
    </row>
    <row r="523" spans="1:105" x14ac:dyDescent="0.25">
      <c r="A523" s="128"/>
      <c r="B523" s="109"/>
      <c r="C523" s="109"/>
      <c r="D523" s="129"/>
      <c r="E523" s="42"/>
      <c r="P523" s="119"/>
      <c r="S523" s="119"/>
      <c r="T523" s="119"/>
      <c r="U523" s="119"/>
      <c r="V523" s="119"/>
      <c r="W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K523" s="32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S523"/>
      <c r="CT523"/>
      <c r="CU523"/>
      <c r="CV523"/>
      <c r="CW523"/>
      <c r="CX523"/>
      <c r="CY523"/>
      <c r="CZ523"/>
      <c r="DA523"/>
    </row>
    <row r="524" spans="1:105" x14ac:dyDescent="0.25">
      <c r="A524" s="128"/>
      <c r="B524" s="109"/>
      <c r="C524" s="109"/>
      <c r="D524" s="129"/>
      <c r="E524" s="42"/>
      <c r="P524" s="119"/>
      <c r="S524" s="119"/>
      <c r="T524" s="119"/>
      <c r="U524" s="119"/>
      <c r="V524" s="119"/>
      <c r="W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K524" s="32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S524"/>
      <c r="CT524"/>
      <c r="CU524"/>
      <c r="CV524"/>
      <c r="CW524"/>
      <c r="CX524"/>
      <c r="CY524"/>
      <c r="CZ524"/>
      <c r="DA524"/>
    </row>
    <row r="525" spans="1:105" x14ac:dyDescent="0.25">
      <c r="A525" s="128"/>
      <c r="B525" s="109"/>
      <c r="C525" s="109"/>
      <c r="D525" s="129"/>
      <c r="E525" s="42"/>
      <c r="P525" s="119"/>
      <c r="S525" s="119"/>
      <c r="T525" s="119"/>
      <c r="U525" s="119"/>
      <c r="V525" s="119"/>
      <c r="W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K525" s="32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S525"/>
      <c r="CT525"/>
      <c r="CU525"/>
      <c r="CV525"/>
      <c r="CW525"/>
      <c r="CX525"/>
      <c r="CY525"/>
      <c r="CZ525"/>
      <c r="DA525"/>
    </row>
    <row r="526" spans="1:105" x14ac:dyDescent="0.25">
      <c r="A526" s="128"/>
      <c r="B526" s="109"/>
      <c r="C526" s="109"/>
      <c r="D526" s="129"/>
      <c r="E526" s="42"/>
      <c r="P526" s="119"/>
      <c r="S526" s="119"/>
      <c r="T526" s="119"/>
      <c r="U526" s="119"/>
      <c r="V526" s="119"/>
      <c r="W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K526" s="32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S526"/>
      <c r="CT526"/>
      <c r="CU526"/>
      <c r="CV526"/>
      <c r="CW526"/>
      <c r="CX526"/>
      <c r="CY526"/>
      <c r="CZ526"/>
      <c r="DA526"/>
    </row>
    <row r="527" spans="1:105" x14ac:dyDescent="0.25">
      <c r="A527" s="128"/>
      <c r="B527" s="109"/>
      <c r="C527" s="109"/>
      <c r="D527" s="129"/>
      <c r="E527" s="42"/>
      <c r="P527" s="119"/>
      <c r="S527" s="119"/>
      <c r="T527" s="119"/>
      <c r="U527" s="119"/>
      <c r="V527" s="119"/>
      <c r="W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K527" s="32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S527"/>
      <c r="CT527"/>
      <c r="CU527"/>
      <c r="CV527"/>
      <c r="CW527"/>
      <c r="CX527"/>
      <c r="CY527"/>
      <c r="CZ527"/>
      <c r="DA527"/>
    </row>
    <row r="528" spans="1:105" x14ac:dyDescent="0.25">
      <c r="A528" s="128"/>
      <c r="B528" s="109"/>
      <c r="C528" s="109"/>
      <c r="D528" s="129"/>
      <c r="E528" s="42"/>
      <c r="P528" s="119"/>
      <c r="S528" s="119"/>
      <c r="T528" s="119"/>
      <c r="U528" s="119"/>
      <c r="V528" s="119"/>
      <c r="W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K528" s="32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S528"/>
      <c r="CT528"/>
      <c r="CU528"/>
      <c r="CV528"/>
      <c r="CW528"/>
      <c r="CX528"/>
      <c r="CY528"/>
      <c r="CZ528"/>
      <c r="DA528"/>
    </row>
    <row r="529" spans="1:105" x14ac:dyDescent="0.25">
      <c r="A529" s="128"/>
      <c r="B529" s="109"/>
      <c r="C529" s="109"/>
      <c r="D529" s="129"/>
      <c r="E529" s="42"/>
      <c r="P529" s="119"/>
      <c r="S529" s="119"/>
      <c r="T529" s="119"/>
      <c r="U529" s="119"/>
      <c r="V529" s="119"/>
      <c r="W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K529" s="32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S529"/>
      <c r="CT529"/>
      <c r="CU529"/>
      <c r="CV529"/>
      <c r="CW529"/>
      <c r="CX529"/>
      <c r="CY529"/>
      <c r="CZ529"/>
      <c r="DA529"/>
    </row>
    <row r="530" spans="1:105" x14ac:dyDescent="0.25">
      <c r="A530" s="128"/>
      <c r="B530" s="109"/>
      <c r="C530" s="109"/>
      <c r="D530" s="129"/>
      <c r="E530" s="42"/>
      <c r="P530" s="119"/>
      <c r="S530" s="119"/>
      <c r="T530" s="119"/>
      <c r="U530" s="119"/>
      <c r="V530" s="119"/>
      <c r="W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K530" s="32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S530"/>
      <c r="CT530"/>
      <c r="CU530"/>
      <c r="CV530"/>
      <c r="CW530"/>
      <c r="CX530"/>
      <c r="CY530"/>
      <c r="CZ530"/>
      <c r="DA530"/>
    </row>
    <row r="531" spans="1:105" x14ac:dyDescent="0.25">
      <c r="A531" s="128"/>
      <c r="B531" s="109"/>
      <c r="C531" s="109"/>
      <c r="D531" s="129"/>
      <c r="E531" s="42"/>
      <c r="P531" s="119"/>
      <c r="S531" s="119"/>
      <c r="T531" s="119"/>
      <c r="U531" s="119"/>
      <c r="V531" s="119"/>
      <c r="W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K531" s="32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S531"/>
      <c r="CT531"/>
      <c r="CU531"/>
      <c r="CV531"/>
      <c r="CW531"/>
      <c r="CX531"/>
      <c r="CY531"/>
      <c r="CZ531"/>
      <c r="DA531"/>
    </row>
    <row r="532" spans="1:105" x14ac:dyDescent="0.25">
      <c r="A532" s="128"/>
      <c r="B532" s="109"/>
      <c r="C532" s="109"/>
      <c r="D532" s="129"/>
      <c r="E532" s="42"/>
      <c r="P532" s="119"/>
      <c r="S532" s="119"/>
      <c r="T532" s="119"/>
      <c r="U532" s="119"/>
      <c r="V532" s="119"/>
      <c r="W532" s="119"/>
      <c r="Y532" s="119"/>
      <c r="Z532" s="119"/>
      <c r="AA532" s="119"/>
      <c r="AB532" s="119"/>
      <c r="AC532" s="119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S532"/>
      <c r="CT532"/>
      <c r="CU532"/>
      <c r="CV532"/>
      <c r="CW532"/>
      <c r="CX532"/>
      <c r="CY532"/>
      <c r="CZ532"/>
      <c r="DA532"/>
    </row>
    <row r="533" spans="1:105" x14ac:dyDescent="0.25">
      <c r="A533" s="128"/>
      <c r="B533" s="109"/>
      <c r="C533" s="109"/>
      <c r="D533" s="129"/>
      <c r="E533" s="42"/>
      <c r="P533" s="119"/>
      <c r="S533" s="119"/>
      <c r="T533" s="119"/>
      <c r="U533" s="119"/>
      <c r="V533" s="119"/>
      <c r="W533" s="119"/>
      <c r="Y533" s="119"/>
      <c r="Z533" s="119"/>
      <c r="AA533" s="119"/>
      <c r="AB533" s="119"/>
      <c r="AC533" s="119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S533"/>
      <c r="CT533"/>
      <c r="CU533"/>
      <c r="CV533"/>
      <c r="CW533"/>
      <c r="CX533"/>
      <c r="CY533"/>
      <c r="CZ533"/>
      <c r="DA533"/>
    </row>
    <row r="534" spans="1:105" x14ac:dyDescent="0.25">
      <c r="A534" s="128"/>
      <c r="B534" s="109"/>
      <c r="C534" s="109"/>
      <c r="D534" s="129"/>
      <c r="E534" s="42"/>
      <c r="P534" s="119"/>
      <c r="S534" s="119"/>
      <c r="T534" s="119"/>
      <c r="U534" s="119"/>
      <c r="V534" s="119"/>
      <c r="W534" s="119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S534"/>
      <c r="CT534"/>
      <c r="CU534"/>
      <c r="CV534"/>
      <c r="CW534"/>
      <c r="CX534"/>
      <c r="CY534"/>
      <c r="CZ534"/>
      <c r="DA534"/>
    </row>
    <row r="535" spans="1:105" x14ac:dyDescent="0.25">
      <c r="A535" s="128"/>
      <c r="B535" s="109"/>
      <c r="C535" s="109"/>
      <c r="D535" s="129"/>
      <c r="E535" s="42"/>
      <c r="P535" s="119"/>
      <c r="S535" s="119"/>
      <c r="T535" s="119"/>
      <c r="U535" s="119"/>
      <c r="V535" s="119"/>
      <c r="W535" s="119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S535"/>
      <c r="CT535"/>
      <c r="CU535"/>
      <c r="CV535"/>
      <c r="CW535"/>
      <c r="CX535"/>
      <c r="CY535"/>
      <c r="CZ535"/>
      <c r="DA535"/>
    </row>
    <row r="536" spans="1:105" x14ac:dyDescent="0.25">
      <c r="A536" s="128"/>
      <c r="B536" s="109"/>
      <c r="C536" s="109"/>
      <c r="D536" s="129"/>
      <c r="E536" s="42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S536"/>
      <c r="CT536"/>
      <c r="CU536"/>
      <c r="CV536"/>
      <c r="CW536"/>
      <c r="CX536"/>
      <c r="CY536"/>
      <c r="CZ536"/>
      <c r="DA536"/>
    </row>
    <row r="537" spans="1:105" x14ac:dyDescent="0.25">
      <c r="A537" s="128"/>
      <c r="B537" s="109"/>
      <c r="C537" s="109"/>
      <c r="D537" s="129"/>
      <c r="E537" s="42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S537"/>
      <c r="CT537"/>
      <c r="CU537"/>
      <c r="CV537"/>
      <c r="CW537"/>
      <c r="CX537"/>
      <c r="CY537"/>
      <c r="CZ537"/>
      <c r="DA537"/>
    </row>
    <row r="538" spans="1:105" x14ac:dyDescent="0.25">
      <c r="A538" s="128"/>
      <c r="B538" s="109"/>
      <c r="C538" s="109"/>
      <c r="D538" s="129"/>
      <c r="E538" s="42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S538"/>
      <c r="CT538"/>
      <c r="CU538"/>
      <c r="CV538"/>
      <c r="CW538"/>
      <c r="CX538"/>
      <c r="CY538"/>
      <c r="CZ538"/>
      <c r="DA538"/>
    </row>
    <row r="539" spans="1:105" x14ac:dyDescent="0.25">
      <c r="A539" s="128"/>
      <c r="B539" s="109"/>
      <c r="C539" s="109"/>
      <c r="D539" s="129"/>
      <c r="E539" s="42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S539"/>
      <c r="CT539"/>
      <c r="CU539"/>
      <c r="CV539"/>
      <c r="CW539"/>
      <c r="CX539"/>
      <c r="CY539"/>
      <c r="CZ539"/>
      <c r="DA539"/>
    </row>
    <row r="540" spans="1:105" x14ac:dyDescent="0.25">
      <c r="A540" s="128"/>
      <c r="B540" s="109"/>
      <c r="C540" s="109"/>
      <c r="D540" s="129"/>
      <c r="E540" s="42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S540"/>
      <c r="CT540"/>
      <c r="CU540"/>
      <c r="CV540"/>
      <c r="CW540"/>
      <c r="CX540"/>
      <c r="CY540"/>
      <c r="CZ540"/>
      <c r="DA540"/>
    </row>
    <row r="541" spans="1:105" x14ac:dyDescent="0.25">
      <c r="A541" s="128"/>
      <c r="B541" s="109"/>
      <c r="C541" s="109"/>
      <c r="D541" s="129"/>
      <c r="E541" s="42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S541"/>
      <c r="CT541"/>
      <c r="CU541"/>
      <c r="CV541"/>
      <c r="CW541"/>
      <c r="CX541"/>
      <c r="CY541"/>
      <c r="CZ541"/>
      <c r="DA541"/>
    </row>
  </sheetData>
  <sortState ref="A4:DK12">
    <sortCondition ref="N4:N12"/>
  </sortState>
  <mergeCells count="5">
    <mergeCell ref="N1:O1"/>
    <mergeCell ref="BH1:CI1"/>
    <mergeCell ref="S1:V1"/>
    <mergeCell ref="AD1:AI1"/>
    <mergeCell ref="W1:AB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0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topLeftCell="A58" zoomScale="85" zoomScaleNormal="85" workbookViewId="0">
      <pane ySplit="435" topLeftCell="A98" activePane="bottomLeft"/>
      <selection activeCell="AG49" sqref="AG49"/>
      <selection pane="bottomLeft" activeCell="C16" sqref="C16:T16"/>
    </sheetView>
  </sheetViews>
  <sheetFormatPr defaultRowHeight="12.75" x14ac:dyDescent="0.2"/>
  <cols>
    <col min="1" max="1" width="12.85546875" customWidth="1"/>
  </cols>
  <sheetData>
    <row r="1" spans="1:22" s="16" customFormat="1" ht="15" x14ac:dyDescent="0.25">
      <c r="A1" s="30" t="s">
        <v>64</v>
      </c>
      <c r="B1" s="60" t="s">
        <v>95</v>
      </c>
      <c r="C1" s="17" t="s">
        <v>130</v>
      </c>
      <c r="D1" s="17" t="s">
        <v>131</v>
      </c>
      <c r="E1" s="87" t="s">
        <v>29</v>
      </c>
      <c r="F1" s="79" t="s">
        <v>38</v>
      </c>
      <c r="G1" s="78" t="s">
        <v>39</v>
      </c>
      <c r="H1" s="78" t="s">
        <v>40</v>
      </c>
      <c r="I1" s="80" t="s">
        <v>41</v>
      </c>
      <c r="J1" s="79" t="s">
        <v>1</v>
      </c>
      <c r="K1" s="78" t="s">
        <v>2</v>
      </c>
      <c r="L1" s="78" t="s">
        <v>114</v>
      </c>
      <c r="M1" s="79" t="s">
        <v>97</v>
      </c>
      <c r="N1" s="78" t="s">
        <v>98</v>
      </c>
      <c r="O1" s="78" t="s">
        <v>42</v>
      </c>
      <c r="P1" s="78" t="s">
        <v>72</v>
      </c>
      <c r="Q1" s="54" t="s">
        <v>34</v>
      </c>
      <c r="R1" s="54" t="s">
        <v>132</v>
      </c>
      <c r="S1" s="16" t="s">
        <v>113</v>
      </c>
      <c r="T1" s="16" t="s">
        <v>135</v>
      </c>
    </row>
    <row r="2" spans="1:22" s="72" customFormat="1" ht="12.75" customHeight="1" x14ac:dyDescent="0.25">
      <c r="A2" s="141" t="s">
        <v>109</v>
      </c>
      <c r="B2" s="61">
        <v>3.4673685045253172E-2</v>
      </c>
      <c r="C2" s="41">
        <v>1.6136261766024205E-2</v>
      </c>
      <c r="D2" s="41">
        <v>18</v>
      </c>
      <c r="E2" s="89">
        <v>2.2309999999999999</v>
      </c>
      <c r="F2" s="140">
        <v>275.81216627576225</v>
      </c>
      <c r="G2" s="26">
        <v>92.300098716683124</v>
      </c>
      <c r="H2" s="26">
        <v>80.991735537190095</v>
      </c>
      <c r="I2" s="26">
        <v>13.249961638790856</v>
      </c>
      <c r="J2" s="85">
        <v>43.8</v>
      </c>
      <c r="K2" s="111">
        <v>28.9</v>
      </c>
      <c r="L2" s="55">
        <v>11</v>
      </c>
      <c r="M2" s="91">
        <v>157.31457183503733</v>
      </c>
      <c r="N2" s="75">
        <v>3.4001028395335209</v>
      </c>
      <c r="O2" s="73">
        <v>69.382641796524268</v>
      </c>
      <c r="P2" s="74">
        <v>2.7744544499303436</v>
      </c>
      <c r="Q2" s="150">
        <v>0.96867936712948011</v>
      </c>
      <c r="R2" s="123">
        <v>5</v>
      </c>
      <c r="S2" s="139">
        <v>0</v>
      </c>
      <c r="T2" s="72">
        <v>234.32400067016667</v>
      </c>
    </row>
    <row r="3" spans="1:22" s="72" customFormat="1" ht="15.75" x14ac:dyDescent="0.25">
      <c r="A3" s="141" t="s">
        <v>144</v>
      </c>
      <c r="B3" s="62">
        <v>1.5135612484362029E-2</v>
      </c>
      <c r="C3" s="57">
        <v>1.1695906432748538E-3</v>
      </c>
      <c r="D3" s="57">
        <v>4</v>
      </c>
      <c r="E3" s="89">
        <v>1.71</v>
      </c>
      <c r="F3" s="140">
        <v>1193.6723389390688</v>
      </c>
      <c r="G3" s="26">
        <v>182.13228035538003</v>
      </c>
      <c r="H3" s="140">
        <v>61.983471074380176</v>
      </c>
      <c r="I3" s="26">
        <v>55.958774487238507</v>
      </c>
      <c r="J3" s="84">
        <v>33.300000000000004</v>
      </c>
      <c r="K3" s="75">
        <v>24.6</v>
      </c>
      <c r="L3" s="2">
        <v>311.5</v>
      </c>
      <c r="M3" s="91">
        <v>131.62099589917275</v>
      </c>
      <c r="N3" s="75">
        <v>2.3286925372691916</v>
      </c>
      <c r="O3" s="73">
        <v>17.645788167612437</v>
      </c>
      <c r="P3" s="74">
        <v>4.596498442565168</v>
      </c>
      <c r="Q3" s="107">
        <v>0.58120762027768813</v>
      </c>
      <c r="R3" s="123">
        <v>4</v>
      </c>
      <c r="S3" s="139">
        <v>0</v>
      </c>
      <c r="T3" s="72">
        <v>1605.214945241351</v>
      </c>
    </row>
    <row r="4" spans="1:22" s="72" customFormat="1" ht="15.75" x14ac:dyDescent="0.25">
      <c r="A4" s="141" t="s">
        <v>145</v>
      </c>
      <c r="B4" s="62">
        <v>4.1686938347033513E-2</v>
      </c>
      <c r="C4" s="57">
        <v>2.4749272080232931E-2</v>
      </c>
      <c r="D4" s="57">
        <v>12.75</v>
      </c>
      <c r="E4" s="89">
        <v>6.1820000000000004</v>
      </c>
      <c r="F4" s="140">
        <v>1045.8106691950695</v>
      </c>
      <c r="G4" s="26">
        <v>238.9766370516617</v>
      </c>
      <c r="H4" s="26">
        <v>860.46107003044801</v>
      </c>
      <c r="I4" s="26">
        <v>76.870748299319729</v>
      </c>
      <c r="J4" s="84">
        <v>38.5</v>
      </c>
      <c r="K4" s="75">
        <v>31.6</v>
      </c>
      <c r="L4" s="2">
        <v>10.5</v>
      </c>
      <c r="M4" s="91">
        <v>406.78405897163742</v>
      </c>
      <c r="N4" s="75">
        <v>2.5348300440324674</v>
      </c>
      <c r="O4" s="73">
        <v>983.98646201666702</v>
      </c>
      <c r="P4" s="74">
        <v>5.5355084240690502</v>
      </c>
      <c r="Q4" s="107">
        <v>0.38747174685179209</v>
      </c>
      <c r="R4" s="123">
        <v>21</v>
      </c>
      <c r="S4" s="139">
        <v>0</v>
      </c>
      <c r="T4" s="72">
        <v>1117.1355220883343</v>
      </c>
    </row>
    <row r="5" spans="1:22" s="72" customFormat="1" ht="15.75" x14ac:dyDescent="0.25">
      <c r="A5" s="141" t="s">
        <v>111</v>
      </c>
      <c r="B5" s="62">
        <v>1.4791083881682026E-2</v>
      </c>
      <c r="C5" s="57">
        <v>2.1242937853107345E-2</v>
      </c>
      <c r="D5" s="57">
        <v>15.666666666666666</v>
      </c>
      <c r="E5" s="89">
        <v>8.85</v>
      </c>
      <c r="F5" s="140">
        <v>1133.9887219921152</v>
      </c>
      <c r="G5" s="140">
        <v>287.5123395853899</v>
      </c>
      <c r="H5" s="140">
        <v>422.00956937799043</v>
      </c>
      <c r="I5" s="26">
        <v>43.757352565086194</v>
      </c>
      <c r="J5" s="84">
        <v>25.9</v>
      </c>
      <c r="K5" s="75">
        <v>25.6</v>
      </c>
      <c r="L5" s="2">
        <v>10.5</v>
      </c>
      <c r="M5" s="91">
        <v>152.86881727175142</v>
      </c>
      <c r="N5" s="75">
        <v>0.80636447351657159</v>
      </c>
      <c r="O5" s="73">
        <v>336.93750469142407</v>
      </c>
      <c r="P5" s="74">
        <v>2.9911763678001702</v>
      </c>
      <c r="Q5" s="32">
        <v>0.29060381013884407</v>
      </c>
      <c r="R5" s="123">
        <v>13</v>
      </c>
      <c r="S5" s="139">
        <v>4</v>
      </c>
      <c r="T5" s="72">
        <v>1731.9310674715919</v>
      </c>
    </row>
    <row r="6" spans="1:22" s="72" customFormat="1" ht="15.75" x14ac:dyDescent="0.25">
      <c r="A6" s="141" t="s">
        <v>110</v>
      </c>
      <c r="B6" s="62">
        <v>0.15488166189124805</v>
      </c>
      <c r="C6" s="57">
        <v>3.528336380255942E-2</v>
      </c>
      <c r="D6" s="57">
        <v>10.157894736842106</v>
      </c>
      <c r="E6" s="89">
        <v>5.47</v>
      </c>
      <c r="F6" s="140">
        <v>107.49039373222216</v>
      </c>
      <c r="G6" s="140">
        <v>43.279039157617639</v>
      </c>
      <c r="H6" s="140">
        <v>64.071335363201413</v>
      </c>
      <c r="I6" s="140">
        <v>10.631169761137539</v>
      </c>
      <c r="J6" s="84">
        <v>114.5</v>
      </c>
      <c r="K6" s="75">
        <v>40.9</v>
      </c>
      <c r="L6" s="2">
        <v>11.5</v>
      </c>
      <c r="M6" s="91">
        <v>36.48013458885567</v>
      </c>
      <c r="N6" s="75">
        <v>7.2860873576819589</v>
      </c>
      <c r="O6" s="73">
        <v>48.675016258210107</v>
      </c>
      <c r="P6" s="74">
        <v>4.7324276291873151</v>
      </c>
      <c r="Q6" s="107">
        <v>0.19373587342589604</v>
      </c>
      <c r="R6" s="123">
        <v>3</v>
      </c>
      <c r="S6" s="139">
        <v>4</v>
      </c>
      <c r="T6" s="72">
        <v>1089.0393924420998</v>
      </c>
    </row>
    <row r="7" spans="1:22" s="72" customFormat="1" ht="15.75" x14ac:dyDescent="0.25">
      <c r="A7" s="141" t="s">
        <v>103</v>
      </c>
      <c r="B7" s="62">
        <v>9.5499258602143561E-2</v>
      </c>
      <c r="C7" s="57">
        <v>3.3671833244254407E-2</v>
      </c>
      <c r="D7" s="57">
        <v>9.9473684210526319</v>
      </c>
      <c r="E7" s="89">
        <v>5.6130000000000004</v>
      </c>
      <c r="F7" s="140">
        <v>204.55112530565398</v>
      </c>
      <c r="G7" s="140">
        <v>65.391576176373817</v>
      </c>
      <c r="H7" s="140">
        <v>128.01217920835148</v>
      </c>
      <c r="I7" s="26">
        <v>15.045266226791471</v>
      </c>
      <c r="J7" s="84">
        <v>83.1</v>
      </c>
      <c r="K7" s="75">
        <v>57.2</v>
      </c>
      <c r="L7" s="2">
        <v>13.2</v>
      </c>
      <c r="M7" s="91">
        <v>70.088521593686067</v>
      </c>
      <c r="N7" s="75">
        <v>9.0758243529633358</v>
      </c>
      <c r="O7" s="73">
        <v>123.48485939560162</v>
      </c>
      <c r="P7" s="74">
        <v>5.5804972107602033</v>
      </c>
      <c r="Q7" s="107">
        <v>0.19373587342589604</v>
      </c>
      <c r="R7" s="123">
        <v>8</v>
      </c>
      <c r="S7" s="139">
        <v>12</v>
      </c>
      <c r="T7" s="72">
        <v>198.50124965674564</v>
      </c>
    </row>
    <row r="8" spans="1:22" s="72" customFormat="1" ht="15.75" x14ac:dyDescent="0.25">
      <c r="A8" s="141" t="s">
        <v>108</v>
      </c>
      <c r="B8" s="62">
        <v>4.3651583224016563E-2</v>
      </c>
      <c r="C8" s="57">
        <v>3.0033557046979863E-2</v>
      </c>
      <c r="D8" s="57">
        <v>9.9444444444444446</v>
      </c>
      <c r="E8" s="89">
        <v>5.96</v>
      </c>
      <c r="F8" s="140">
        <v>1206.0981086880581</v>
      </c>
      <c r="G8" s="140">
        <v>319.84205330700888</v>
      </c>
      <c r="H8" s="140">
        <v>391.43105698129625</v>
      </c>
      <c r="I8" s="140">
        <v>69.51051097130582</v>
      </c>
      <c r="J8" s="84">
        <v>36.900000000000006</v>
      </c>
      <c r="K8" s="75">
        <v>174.5</v>
      </c>
      <c r="L8" s="2">
        <v>111.19999999999999</v>
      </c>
      <c r="M8" s="91">
        <v>216.62097908431423</v>
      </c>
      <c r="N8" s="75">
        <v>26.028999637903688</v>
      </c>
      <c r="O8" s="73">
        <v>429.55169537215397</v>
      </c>
      <c r="P8" s="74">
        <v>6.639108185837304</v>
      </c>
      <c r="Q8" s="107">
        <v>6.1995479496286734</v>
      </c>
      <c r="R8" s="123">
        <v>131</v>
      </c>
      <c r="S8" s="139">
        <v>3</v>
      </c>
      <c r="T8" s="72">
        <v>1597.5554206731201</v>
      </c>
    </row>
    <row r="9" spans="1:22" s="72" customFormat="1" ht="15.75" x14ac:dyDescent="0.25">
      <c r="A9" s="141" t="s">
        <v>105</v>
      </c>
      <c r="B9" s="62">
        <v>5.3703179637025193E-2</v>
      </c>
      <c r="C9" s="57">
        <v>3.3700367033700371E-2</v>
      </c>
      <c r="D9" s="57">
        <v>9.7741935483870961</v>
      </c>
      <c r="E9" s="89">
        <v>8.9909999999999997</v>
      </c>
      <c r="F9" s="140">
        <v>813.81306452417778</v>
      </c>
      <c r="G9" s="26">
        <v>217.58802237578152</v>
      </c>
      <c r="H9" s="140">
        <v>564.46280991735546</v>
      </c>
      <c r="I9" s="26">
        <v>60.585136310163172</v>
      </c>
      <c r="J9" s="84">
        <v>70.5</v>
      </c>
      <c r="K9" s="75">
        <v>118.9</v>
      </c>
      <c r="L9" s="2">
        <v>22.2</v>
      </c>
      <c r="M9" s="91">
        <v>330.52531380932891</v>
      </c>
      <c r="N9" s="75">
        <v>61.982730408513916</v>
      </c>
      <c r="O9" s="73">
        <v>669.51847957621862</v>
      </c>
      <c r="P9" s="74">
        <v>5.7942870539914475</v>
      </c>
      <c r="Q9" s="107">
        <v>0.58120762027768813</v>
      </c>
      <c r="R9" s="123">
        <v>6</v>
      </c>
      <c r="S9" s="139">
        <v>10</v>
      </c>
      <c r="T9" s="72">
        <v>762.13104088384182</v>
      </c>
    </row>
    <row r="10" spans="1:22" s="72" customFormat="1" ht="15.75" x14ac:dyDescent="0.25">
      <c r="A10" s="141" t="s">
        <v>104</v>
      </c>
      <c r="B10" s="62">
        <v>6.6069344800759433E-2</v>
      </c>
      <c r="C10" s="57">
        <v>3.6546610169491525E-2</v>
      </c>
      <c r="D10" s="57">
        <v>8.8461538461538449</v>
      </c>
      <c r="E10" s="89">
        <v>9.44</v>
      </c>
      <c r="F10" s="140">
        <v>827.28679075802177</v>
      </c>
      <c r="G10" s="140">
        <v>261.92826587693321</v>
      </c>
      <c r="H10" s="140">
        <v>457.80774249673777</v>
      </c>
      <c r="I10" s="26">
        <v>84.241215283105731</v>
      </c>
      <c r="J10" s="84">
        <v>189.29999999999998</v>
      </c>
      <c r="K10" s="75">
        <v>228.2</v>
      </c>
      <c r="L10" s="2">
        <v>162.5</v>
      </c>
      <c r="M10" s="91">
        <v>248.57582620458192</v>
      </c>
      <c r="N10" s="75">
        <v>109.81236757878384</v>
      </c>
      <c r="O10" s="73">
        <v>611.53898799240415</v>
      </c>
      <c r="P10" s="74">
        <v>11.927606761720719</v>
      </c>
      <c r="Q10" s="32">
        <v>3.4872457216661288</v>
      </c>
      <c r="R10" s="123">
        <v>18</v>
      </c>
      <c r="S10" s="139">
        <v>32</v>
      </c>
      <c r="T10" s="72">
        <v>951.43939102091826</v>
      </c>
    </row>
    <row r="11" spans="1:22" s="72" customFormat="1" ht="15.75" x14ac:dyDescent="0.25">
      <c r="A11" s="141" t="s">
        <v>107</v>
      </c>
      <c r="B11" s="62">
        <v>0.61659500186148142</v>
      </c>
      <c r="C11" s="57">
        <v>3.9713639788997744E-2</v>
      </c>
      <c r="D11" s="57">
        <v>8.234375</v>
      </c>
      <c r="E11" s="89">
        <v>13.27</v>
      </c>
      <c r="F11" s="140">
        <v>185.93742202704723</v>
      </c>
      <c r="G11" s="26">
        <v>69.151036525172756</v>
      </c>
      <c r="H11" s="26">
        <v>192.30100043497174</v>
      </c>
      <c r="I11" s="26">
        <v>19.794383918981129</v>
      </c>
      <c r="J11" s="84">
        <v>199.7</v>
      </c>
      <c r="K11" s="75">
        <v>241.2</v>
      </c>
      <c r="L11" s="2">
        <v>59.1</v>
      </c>
      <c r="M11" s="91">
        <v>59.436735615443951</v>
      </c>
      <c r="N11" s="75">
        <v>4.4001622629960915</v>
      </c>
      <c r="O11" s="73">
        <v>178.11220590938063</v>
      </c>
      <c r="P11" s="74">
        <v>5.195892222335261</v>
      </c>
      <c r="Q11" s="107">
        <v>0.58120762027768813</v>
      </c>
      <c r="R11" s="123">
        <v>10</v>
      </c>
      <c r="S11" s="139">
        <v>17</v>
      </c>
      <c r="T11" s="72">
        <v>178.53917676191134</v>
      </c>
    </row>
    <row r="12" spans="1:22" s="72" customFormat="1" ht="15.75" x14ac:dyDescent="0.25">
      <c r="A12" s="141" t="s">
        <v>146</v>
      </c>
      <c r="B12" s="62">
        <v>2.7542287033381663</v>
      </c>
      <c r="C12" s="57">
        <v>4.4159999999999998E-2</v>
      </c>
      <c r="D12" s="57">
        <v>7.2631578947368416</v>
      </c>
      <c r="E12" s="89">
        <v>18.75</v>
      </c>
      <c r="F12" s="140">
        <v>153.15135485802682</v>
      </c>
      <c r="G12" s="140">
        <v>54.647910496873969</v>
      </c>
      <c r="H12" s="140">
        <v>80.382775119617236</v>
      </c>
      <c r="I12" s="26">
        <v>10.482839752442331</v>
      </c>
      <c r="J12" s="84">
        <v>384.2</v>
      </c>
      <c r="K12" s="75">
        <v>368.59999999999997</v>
      </c>
      <c r="L12" s="2">
        <v>28</v>
      </c>
      <c r="M12" s="91">
        <v>55.773810588538126</v>
      </c>
      <c r="N12" s="75">
        <v>2.3302985056023502</v>
      </c>
      <c r="O12" s="73">
        <v>66.784560978286862</v>
      </c>
      <c r="P12" s="74">
        <v>3.1553663197047332</v>
      </c>
      <c r="Q12" s="107">
        <v>0.29060381013884407</v>
      </c>
      <c r="R12" s="123">
        <v>12</v>
      </c>
      <c r="S12" s="139">
        <v>7</v>
      </c>
      <c r="T12" s="72">
        <v>79.689872067314028</v>
      </c>
      <c r="U12"/>
    </row>
    <row r="16" spans="1:22" x14ac:dyDescent="0.2">
      <c r="B16" s="72"/>
      <c r="C16" s="72" t="s">
        <v>95</v>
      </c>
      <c r="D16" s="72" t="s">
        <v>130</v>
      </c>
      <c r="E16" s="72" t="s">
        <v>131</v>
      </c>
      <c r="F16" s="72" t="s">
        <v>28</v>
      </c>
      <c r="G16" s="72" t="s">
        <v>136</v>
      </c>
      <c r="H16" s="72" t="s">
        <v>137</v>
      </c>
      <c r="I16" s="72" t="s">
        <v>138</v>
      </c>
      <c r="J16" s="72" t="s">
        <v>139</v>
      </c>
      <c r="K16" s="72" t="s">
        <v>1</v>
      </c>
      <c r="L16" s="72" t="s">
        <v>2</v>
      </c>
      <c r="M16" s="72" t="s">
        <v>114</v>
      </c>
      <c r="N16" s="72" t="s">
        <v>140</v>
      </c>
      <c r="O16" s="72" t="s">
        <v>141</v>
      </c>
      <c r="P16" s="72" t="s">
        <v>142</v>
      </c>
      <c r="Q16" s="72" t="s">
        <v>72</v>
      </c>
      <c r="R16" s="72" t="s">
        <v>34</v>
      </c>
      <c r="S16" s="72" t="s">
        <v>132</v>
      </c>
      <c r="T16" s="72" t="s">
        <v>113</v>
      </c>
      <c r="U16" s="72"/>
      <c r="V16" s="72"/>
    </row>
    <row r="17" spans="2:33" x14ac:dyDescent="0.2">
      <c r="B17" s="72" t="s">
        <v>130</v>
      </c>
      <c r="C17" s="112">
        <v>0.504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</row>
    <row r="18" spans="2:33" x14ac:dyDescent="0.2">
      <c r="B18" s="72"/>
      <c r="C18" s="112">
        <v>0.114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F18" s="113"/>
      <c r="AG18" s="113"/>
    </row>
    <row r="19" spans="2:33" x14ac:dyDescent="0.2">
      <c r="B19" s="7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</row>
    <row r="20" spans="2:33" x14ac:dyDescent="0.2">
      <c r="B20" s="72" t="s">
        <v>131</v>
      </c>
      <c r="C20" s="112">
        <v>-0.315</v>
      </c>
      <c r="D20" s="112">
        <v>-0.126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</row>
    <row r="21" spans="2:33" x14ac:dyDescent="0.2">
      <c r="B21" s="72"/>
      <c r="C21" s="112">
        <v>0.34499999999999997</v>
      </c>
      <c r="D21" s="112">
        <v>0.71099999999999997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</row>
    <row r="22" spans="2:33" x14ac:dyDescent="0.2">
      <c r="B22" s="7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</row>
    <row r="23" spans="2:33" x14ac:dyDescent="0.2">
      <c r="B23" s="72" t="s">
        <v>28</v>
      </c>
      <c r="C23" s="151">
        <v>0.81499999999999995</v>
      </c>
      <c r="D23" s="151">
        <v>0.76</v>
      </c>
      <c r="E23" s="112">
        <v>-0.25700000000000001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</row>
    <row r="24" spans="2:33" x14ac:dyDescent="0.2">
      <c r="B24" s="72"/>
      <c r="C24" s="134">
        <v>2E-3</v>
      </c>
      <c r="D24" s="134">
        <v>7.0000000000000001E-3</v>
      </c>
      <c r="E24" s="112">
        <v>0.44500000000000001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</row>
    <row r="25" spans="2:33" x14ac:dyDescent="0.2">
      <c r="B25" s="7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</row>
    <row r="26" spans="2:33" x14ac:dyDescent="0.2">
      <c r="B26" s="72" t="s">
        <v>136</v>
      </c>
      <c r="C26" s="112">
        <v>-0.45500000000000002</v>
      </c>
      <c r="D26" s="112">
        <v>-0.54700000000000004</v>
      </c>
      <c r="E26" s="112">
        <v>-3.2000000000000001E-2</v>
      </c>
      <c r="F26" s="112">
        <v>-0.33700000000000002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</row>
    <row r="27" spans="2:33" x14ac:dyDescent="0.2">
      <c r="B27" s="72"/>
      <c r="C27" s="112">
        <v>0.16</v>
      </c>
      <c r="D27" s="112">
        <v>8.2000000000000003E-2</v>
      </c>
      <c r="E27" s="112">
        <v>0.92500000000000004</v>
      </c>
      <c r="F27" s="112">
        <v>0.311</v>
      </c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F27" s="72"/>
    </row>
    <row r="28" spans="2:33" x14ac:dyDescent="0.2">
      <c r="B28" s="7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2:33" x14ac:dyDescent="0.2">
      <c r="B29" s="72" t="s">
        <v>137</v>
      </c>
      <c r="C29" s="112">
        <v>-0.44700000000000001</v>
      </c>
      <c r="D29" s="112">
        <v>-0.28199999999999997</v>
      </c>
      <c r="E29" s="112">
        <v>0.13200000000000001</v>
      </c>
      <c r="F29" s="112">
        <v>-0.19400000000000001</v>
      </c>
      <c r="G29" s="151">
        <v>0.92600000000000005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</row>
    <row r="30" spans="2:33" x14ac:dyDescent="0.2">
      <c r="B30" s="72"/>
      <c r="C30" s="112">
        <v>0.16800000000000001</v>
      </c>
      <c r="D30" s="112">
        <v>0.40100000000000002</v>
      </c>
      <c r="E30" s="112">
        <v>0.69899999999999995</v>
      </c>
      <c r="F30" s="112">
        <v>0.56799999999999995</v>
      </c>
      <c r="G30" s="134">
        <v>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</row>
    <row r="31" spans="2:33" x14ac:dyDescent="0.2">
      <c r="B31" s="7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2:33" x14ac:dyDescent="0.2">
      <c r="B32" s="72" t="s">
        <v>138</v>
      </c>
      <c r="C32" s="112">
        <v>-0.32100000000000001</v>
      </c>
      <c r="D32" s="112">
        <v>5.8000000000000003E-2</v>
      </c>
      <c r="E32" s="112">
        <v>0.24</v>
      </c>
      <c r="F32" s="112">
        <v>1.7999999999999999E-2</v>
      </c>
      <c r="G32" s="112">
        <v>0.59399999999999997</v>
      </c>
      <c r="H32" s="112">
        <v>0.70699999999999996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</row>
    <row r="33" spans="2:32" x14ac:dyDescent="0.2">
      <c r="B33" s="72"/>
      <c r="C33" s="112">
        <v>0.33600000000000002</v>
      </c>
      <c r="D33" s="112">
        <v>0.86399999999999999</v>
      </c>
      <c r="E33" s="112">
        <v>0.47799999999999998</v>
      </c>
      <c r="F33" s="112">
        <v>0.95899999999999996</v>
      </c>
      <c r="G33" s="112">
        <v>5.3999999999999999E-2</v>
      </c>
      <c r="H33" s="112">
        <v>1.4999999999999999E-2</v>
      </c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</row>
    <row r="34" spans="2:32" x14ac:dyDescent="0.2">
      <c r="B34" s="7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F34" s="72"/>
    </row>
    <row r="35" spans="2:32" x14ac:dyDescent="0.2">
      <c r="B35" s="72" t="s">
        <v>139</v>
      </c>
      <c r="C35" s="112">
        <v>-0.432</v>
      </c>
      <c r="D35" s="112">
        <v>-0.222</v>
      </c>
      <c r="E35" s="112">
        <v>-0.125</v>
      </c>
      <c r="F35" s="112">
        <v>-0.19400000000000001</v>
      </c>
      <c r="G35" s="151">
        <v>0.85099999999999998</v>
      </c>
      <c r="H35" s="151">
        <v>0.88500000000000001</v>
      </c>
      <c r="I35" s="112">
        <v>0.77200000000000002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</row>
    <row r="36" spans="2:32" x14ac:dyDescent="0.2">
      <c r="B36" s="72"/>
      <c r="C36" s="112">
        <v>0.184</v>
      </c>
      <c r="D36" s="112">
        <v>0.51200000000000001</v>
      </c>
      <c r="E36" s="112">
        <v>0.71399999999999997</v>
      </c>
      <c r="F36" s="112">
        <v>0.56899999999999995</v>
      </c>
      <c r="G36" s="134">
        <v>1E-3</v>
      </c>
      <c r="H36" s="134">
        <v>0</v>
      </c>
      <c r="I36" s="112">
        <v>5.0000000000000001E-3</v>
      </c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</row>
    <row r="37" spans="2:32" x14ac:dyDescent="0.2">
      <c r="B37" s="7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</row>
    <row r="38" spans="2:32" x14ac:dyDescent="0.2">
      <c r="B38" s="72" t="s">
        <v>1</v>
      </c>
      <c r="C38" s="151">
        <v>0.89500000000000002</v>
      </c>
      <c r="D38" s="112">
        <v>0.69399999999999995</v>
      </c>
      <c r="E38" s="112">
        <v>-0.40899999999999997</v>
      </c>
      <c r="F38" s="151">
        <v>0.86399999999999999</v>
      </c>
      <c r="G38" s="112">
        <v>-0.56699999999999995</v>
      </c>
      <c r="H38" s="112">
        <v>-0.47899999999999998</v>
      </c>
      <c r="I38" s="112">
        <v>-0.31</v>
      </c>
      <c r="J38" s="112">
        <v>-0.35699999999999998</v>
      </c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F38" s="72"/>
    </row>
    <row r="39" spans="2:32" x14ac:dyDescent="0.2">
      <c r="B39" s="72"/>
      <c r="C39" s="134">
        <v>0</v>
      </c>
      <c r="D39" s="112">
        <v>1.7999999999999999E-2</v>
      </c>
      <c r="E39" s="112">
        <v>0.21099999999999999</v>
      </c>
      <c r="F39" s="134">
        <v>1E-3</v>
      </c>
      <c r="G39" s="112">
        <v>6.9000000000000006E-2</v>
      </c>
      <c r="H39" s="112">
        <v>0.13600000000000001</v>
      </c>
      <c r="I39" s="112">
        <v>0.35399999999999998</v>
      </c>
      <c r="J39" s="112">
        <v>0.28199999999999997</v>
      </c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</row>
    <row r="40" spans="2:32" x14ac:dyDescent="0.2">
      <c r="B40" s="72"/>
      <c r="C40" s="134"/>
      <c r="D40" s="112"/>
      <c r="E40" s="112"/>
      <c r="F40" s="134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2:32" x14ac:dyDescent="0.2">
      <c r="B41" s="72" t="s">
        <v>2</v>
      </c>
      <c r="C41" s="151">
        <v>0.77400000000000002</v>
      </c>
      <c r="D41" s="112">
        <v>0.70699999999999996</v>
      </c>
      <c r="E41" s="112">
        <v>-0.438</v>
      </c>
      <c r="F41" s="151">
        <v>0.86299999999999999</v>
      </c>
      <c r="G41" s="112">
        <v>-0.29299999999999998</v>
      </c>
      <c r="H41" s="112">
        <v>-0.14399999999999999</v>
      </c>
      <c r="I41" s="112">
        <v>-0.115</v>
      </c>
      <c r="J41" s="112">
        <v>-6.7000000000000004E-2</v>
      </c>
      <c r="K41" s="151">
        <v>0.88500000000000001</v>
      </c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</row>
    <row r="42" spans="2:32" x14ac:dyDescent="0.2">
      <c r="B42" s="72"/>
      <c r="C42" s="134">
        <v>5.0000000000000001E-3</v>
      </c>
      <c r="D42" s="112">
        <v>1.4999999999999999E-2</v>
      </c>
      <c r="E42" s="112">
        <v>0.17799999999999999</v>
      </c>
      <c r="F42" s="134">
        <v>1E-3</v>
      </c>
      <c r="G42" s="112">
        <v>0.38200000000000001</v>
      </c>
      <c r="H42" s="112">
        <v>0.67300000000000004</v>
      </c>
      <c r="I42" s="112">
        <v>0.73699999999999999</v>
      </c>
      <c r="J42" s="112">
        <v>0.84399999999999997</v>
      </c>
      <c r="K42" s="134">
        <v>0</v>
      </c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</row>
    <row r="43" spans="2:32" x14ac:dyDescent="0.2">
      <c r="B43" s="7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F43" s="72"/>
    </row>
    <row r="44" spans="2:32" x14ac:dyDescent="0.2">
      <c r="B44" s="72" t="s">
        <v>114</v>
      </c>
      <c r="C44" s="112">
        <v>-0.16400000000000001</v>
      </c>
      <c r="D44" s="112">
        <v>-0.52700000000000002</v>
      </c>
      <c r="E44" s="112">
        <v>-0.65</v>
      </c>
      <c r="F44" s="112">
        <v>-0.28999999999999998</v>
      </c>
      <c r="G44" s="112">
        <v>0.49</v>
      </c>
      <c r="H44" s="112">
        <v>0.28399999999999997</v>
      </c>
      <c r="I44" s="112">
        <v>-0.184</v>
      </c>
      <c r="J44" s="112">
        <v>0.437</v>
      </c>
      <c r="K44" s="112">
        <v>-0.1</v>
      </c>
      <c r="L44" s="112">
        <v>1.7999999999999999E-2</v>
      </c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</row>
    <row r="45" spans="2:32" x14ac:dyDescent="0.2">
      <c r="B45" s="72"/>
      <c r="C45" s="112">
        <v>0.63</v>
      </c>
      <c r="D45" s="112">
        <v>9.6000000000000002E-2</v>
      </c>
      <c r="E45" s="112">
        <v>3.1E-2</v>
      </c>
      <c r="F45" s="112">
        <v>0.38600000000000001</v>
      </c>
      <c r="G45" s="112">
        <v>0.126</v>
      </c>
      <c r="H45" s="112">
        <v>0.39700000000000002</v>
      </c>
      <c r="I45" s="112">
        <v>0.58899999999999997</v>
      </c>
      <c r="J45" s="112">
        <v>0.17799999999999999</v>
      </c>
      <c r="K45" s="112">
        <v>0.77</v>
      </c>
      <c r="L45" s="112">
        <v>0.95799999999999996</v>
      </c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</row>
    <row r="46" spans="2:32" x14ac:dyDescent="0.2">
      <c r="B46" s="7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</row>
    <row r="47" spans="2:32" x14ac:dyDescent="0.2">
      <c r="B47" s="72" t="s">
        <v>140</v>
      </c>
      <c r="C47" s="112">
        <v>-0.39400000000000002</v>
      </c>
      <c r="D47" s="112">
        <v>-0.16700000000000001</v>
      </c>
      <c r="E47" s="112">
        <v>0.22500000000000001</v>
      </c>
      <c r="F47" s="112">
        <v>-0.20200000000000001</v>
      </c>
      <c r="G47" s="112">
        <v>0.64500000000000002</v>
      </c>
      <c r="H47" s="112">
        <v>0.70499999999999996</v>
      </c>
      <c r="I47" s="151">
        <v>0.91300000000000003</v>
      </c>
      <c r="J47" s="112">
        <v>0.82199999999999995</v>
      </c>
      <c r="K47" s="112">
        <v>-0.41299999999999998</v>
      </c>
      <c r="L47" s="112">
        <v>-0.20399999999999999</v>
      </c>
      <c r="M47" s="112">
        <v>-5.0000000000000001E-3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</row>
    <row r="48" spans="2:32" x14ac:dyDescent="0.2">
      <c r="B48" s="72"/>
      <c r="C48" s="112">
        <v>0.23</v>
      </c>
      <c r="D48" s="112">
        <v>0.623</v>
      </c>
      <c r="E48" s="112">
        <v>0.50700000000000001</v>
      </c>
      <c r="F48" s="112">
        <v>0.55200000000000005</v>
      </c>
      <c r="G48" s="112">
        <v>3.2000000000000001E-2</v>
      </c>
      <c r="H48" s="112">
        <v>1.4999999999999999E-2</v>
      </c>
      <c r="I48" s="134">
        <v>0</v>
      </c>
      <c r="J48" s="112">
        <v>2E-3</v>
      </c>
      <c r="K48" s="112">
        <v>0.20699999999999999</v>
      </c>
      <c r="L48" s="112">
        <v>0.54800000000000004</v>
      </c>
      <c r="M48" s="112">
        <v>0.98799999999999999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F48" s="72"/>
    </row>
    <row r="49" spans="2:27" x14ac:dyDescent="0.2">
      <c r="B49" s="7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</row>
    <row r="50" spans="2:27" x14ac:dyDescent="0.2">
      <c r="B50" s="72" t="s">
        <v>141</v>
      </c>
      <c r="C50" s="112">
        <v>-0.20699999999999999</v>
      </c>
      <c r="D50" s="112">
        <v>0.29399999999999998</v>
      </c>
      <c r="E50" s="112">
        <v>-0.16900000000000001</v>
      </c>
      <c r="F50" s="112">
        <v>0.1</v>
      </c>
      <c r="G50" s="112">
        <v>0.214</v>
      </c>
      <c r="H50" s="112">
        <v>0.42199999999999999</v>
      </c>
      <c r="I50" s="112">
        <v>0.35399999999999998</v>
      </c>
      <c r="J50" s="112">
        <v>0.59399999999999997</v>
      </c>
      <c r="K50" s="112">
        <v>0.114</v>
      </c>
      <c r="L50" s="112">
        <v>0.29699999999999999</v>
      </c>
      <c r="M50" s="112">
        <v>0.23599999999999999</v>
      </c>
      <c r="N50" s="112">
        <v>0.42499999999999999</v>
      </c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</row>
    <row r="51" spans="2:27" x14ac:dyDescent="0.2">
      <c r="B51" s="72"/>
      <c r="C51" s="112">
        <v>0.54200000000000004</v>
      </c>
      <c r="D51" s="112">
        <v>0.38</v>
      </c>
      <c r="E51" s="112">
        <v>0.61799999999999999</v>
      </c>
      <c r="F51" s="112">
        <v>0.77100000000000002</v>
      </c>
      <c r="G51" s="112">
        <v>0.52700000000000002</v>
      </c>
      <c r="H51" s="112">
        <v>0.19600000000000001</v>
      </c>
      <c r="I51" s="112">
        <v>0.28499999999999998</v>
      </c>
      <c r="J51" s="112">
        <v>5.3999999999999999E-2</v>
      </c>
      <c r="K51" s="112">
        <v>0.73799999999999999</v>
      </c>
      <c r="L51" s="112">
        <v>0.375</v>
      </c>
      <c r="M51" s="112">
        <v>0.48499999999999999</v>
      </c>
      <c r="N51" s="112">
        <v>0.193</v>
      </c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</row>
    <row r="52" spans="2:27" x14ac:dyDescent="0.2">
      <c r="B52" s="7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</row>
    <row r="53" spans="2:27" x14ac:dyDescent="0.2">
      <c r="B53" s="72" t="s">
        <v>142</v>
      </c>
      <c r="C53" s="112">
        <v>-0.30599999999999999</v>
      </c>
      <c r="D53" s="112">
        <v>0.12</v>
      </c>
      <c r="E53" s="112">
        <v>0.18</v>
      </c>
      <c r="F53" s="112">
        <v>2.5000000000000001E-2</v>
      </c>
      <c r="G53" s="112">
        <v>0.54</v>
      </c>
      <c r="H53" s="112">
        <v>0.67100000000000004</v>
      </c>
      <c r="I53" s="151">
        <v>0.98499999999999999</v>
      </c>
      <c r="J53" s="151">
        <v>0.79500000000000004</v>
      </c>
      <c r="K53" s="112">
        <v>-0.247</v>
      </c>
      <c r="L53" s="112">
        <v>-4.8000000000000001E-2</v>
      </c>
      <c r="M53" s="112">
        <v>-0.14799999999999999</v>
      </c>
      <c r="N53" s="151">
        <v>0.93</v>
      </c>
      <c r="O53" s="112">
        <v>0.46700000000000003</v>
      </c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</row>
    <row r="54" spans="2:27" x14ac:dyDescent="0.2">
      <c r="B54" s="72"/>
      <c r="C54" s="112">
        <v>0.35899999999999999</v>
      </c>
      <c r="D54" s="112">
        <v>0.72599999999999998</v>
      </c>
      <c r="E54" s="112">
        <v>0.59699999999999998</v>
      </c>
      <c r="F54" s="112">
        <v>0.94199999999999995</v>
      </c>
      <c r="G54" s="112">
        <v>8.5999999999999993E-2</v>
      </c>
      <c r="H54" s="112">
        <v>2.4E-2</v>
      </c>
      <c r="I54" s="134">
        <v>0</v>
      </c>
      <c r="J54" s="134">
        <v>3.0000000000000001E-3</v>
      </c>
      <c r="K54" s="112">
        <v>0.46400000000000002</v>
      </c>
      <c r="L54" s="112">
        <v>0.88800000000000001</v>
      </c>
      <c r="M54" s="112">
        <v>0.66300000000000003</v>
      </c>
      <c r="N54" s="134">
        <v>0</v>
      </c>
      <c r="O54" s="112">
        <v>0.14699999999999999</v>
      </c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</row>
    <row r="55" spans="2:27" x14ac:dyDescent="0.2">
      <c r="B55" s="7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</row>
    <row r="56" spans="2:27" x14ac:dyDescent="0.2">
      <c r="B56" s="72" t="s">
        <v>72</v>
      </c>
      <c r="C56" s="112">
        <v>-0.28599999999999998</v>
      </c>
      <c r="D56" s="112">
        <v>0.28199999999999997</v>
      </c>
      <c r="E56" s="112">
        <v>-0.314</v>
      </c>
      <c r="F56" s="112">
        <v>8.9999999999999993E-3</v>
      </c>
      <c r="G56" s="112">
        <v>0.24299999999999999</v>
      </c>
      <c r="H56" s="112">
        <v>0.40899999999999997</v>
      </c>
      <c r="I56" s="112">
        <v>0.371</v>
      </c>
      <c r="J56" s="112">
        <v>0.65200000000000002</v>
      </c>
      <c r="K56" s="112">
        <v>7.1999999999999995E-2</v>
      </c>
      <c r="L56" s="112">
        <v>0.26100000000000001</v>
      </c>
      <c r="M56" s="112">
        <v>0.35899999999999999</v>
      </c>
      <c r="N56" s="112">
        <v>0.37</v>
      </c>
      <c r="O56" s="151">
        <v>0.876</v>
      </c>
      <c r="P56" s="112">
        <v>0.48399999999999999</v>
      </c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</row>
    <row r="57" spans="2:27" x14ac:dyDescent="0.2">
      <c r="B57" s="72"/>
      <c r="C57" s="112">
        <v>0.39400000000000002</v>
      </c>
      <c r="D57" s="112">
        <v>0.40100000000000002</v>
      </c>
      <c r="E57" s="112">
        <v>0.34699999999999998</v>
      </c>
      <c r="F57" s="112">
        <v>0.97799999999999998</v>
      </c>
      <c r="G57" s="112">
        <v>0.47099999999999997</v>
      </c>
      <c r="H57" s="112">
        <v>0.21199999999999999</v>
      </c>
      <c r="I57" s="112">
        <v>0.26100000000000001</v>
      </c>
      <c r="J57" s="112">
        <v>0.03</v>
      </c>
      <c r="K57" s="112">
        <v>0.83299999999999996</v>
      </c>
      <c r="L57" s="112">
        <v>0.438</v>
      </c>
      <c r="M57" s="112">
        <v>0.27800000000000002</v>
      </c>
      <c r="N57" s="112">
        <v>0.26200000000000001</v>
      </c>
      <c r="O57" s="134">
        <v>0</v>
      </c>
      <c r="P57" s="112">
        <v>0.13100000000000001</v>
      </c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</row>
    <row r="58" spans="2:27" x14ac:dyDescent="0.2">
      <c r="B58" s="7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</row>
    <row r="59" spans="2:27" x14ac:dyDescent="0.2">
      <c r="B59" s="72" t="s">
        <v>34</v>
      </c>
      <c r="C59" s="112">
        <v>-0.19900000000000001</v>
      </c>
      <c r="D59" s="112">
        <v>8.2000000000000003E-2</v>
      </c>
      <c r="E59" s="112">
        <v>-6.9000000000000006E-2</v>
      </c>
      <c r="F59" s="112">
        <v>-0.104</v>
      </c>
      <c r="G59" s="112">
        <v>0.434</v>
      </c>
      <c r="H59" s="112">
        <v>0.6</v>
      </c>
      <c r="I59" s="112">
        <v>0.19500000000000001</v>
      </c>
      <c r="J59" s="112">
        <v>0.53500000000000003</v>
      </c>
      <c r="K59" s="112">
        <v>-0.11899999999999999</v>
      </c>
      <c r="L59" s="112">
        <v>0.27200000000000002</v>
      </c>
      <c r="M59" s="112">
        <v>0.32100000000000001</v>
      </c>
      <c r="N59" s="112">
        <v>0.251</v>
      </c>
      <c r="O59" s="112">
        <v>0.46700000000000003</v>
      </c>
      <c r="P59" s="112">
        <v>0.246</v>
      </c>
      <c r="Q59" s="112">
        <v>0.56299999999999994</v>
      </c>
      <c r="R59" s="112"/>
      <c r="S59" s="112"/>
      <c r="T59" s="112"/>
      <c r="U59" s="112"/>
      <c r="V59" s="112"/>
      <c r="W59" s="112"/>
      <c r="X59" s="112"/>
      <c r="Y59" s="112"/>
      <c r="Z59" s="112"/>
      <c r="AA59" s="112"/>
    </row>
    <row r="60" spans="2:27" x14ac:dyDescent="0.2">
      <c r="B60" s="72"/>
      <c r="C60" s="112">
        <v>0.55800000000000005</v>
      </c>
      <c r="D60" s="112">
        <v>0.81100000000000005</v>
      </c>
      <c r="E60" s="112">
        <v>0.84</v>
      </c>
      <c r="F60" s="112">
        <v>0.76100000000000001</v>
      </c>
      <c r="G60" s="112">
        <v>0.182</v>
      </c>
      <c r="H60" s="112">
        <v>5.0999999999999997E-2</v>
      </c>
      <c r="I60" s="112">
        <v>0.56599999999999995</v>
      </c>
      <c r="J60" s="112">
        <v>0.09</v>
      </c>
      <c r="K60" s="112">
        <v>0.72799999999999998</v>
      </c>
      <c r="L60" s="112">
        <v>0.41799999999999998</v>
      </c>
      <c r="M60" s="112">
        <v>0.33600000000000002</v>
      </c>
      <c r="N60" s="112">
        <v>0.45700000000000002</v>
      </c>
      <c r="O60" s="112">
        <v>0.14799999999999999</v>
      </c>
      <c r="P60" s="112">
        <v>0.46700000000000003</v>
      </c>
      <c r="Q60" s="112">
        <v>7.0999999999999994E-2</v>
      </c>
      <c r="R60" s="112"/>
      <c r="S60" s="112"/>
      <c r="T60" s="112"/>
      <c r="U60" s="112"/>
      <c r="V60" s="112"/>
      <c r="W60" s="112"/>
      <c r="X60" s="112"/>
      <c r="Y60" s="112"/>
      <c r="Z60" s="112"/>
      <c r="AA60" s="112"/>
    </row>
    <row r="61" spans="2:27" x14ac:dyDescent="0.2">
      <c r="B61" s="7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</row>
    <row r="62" spans="2:27" x14ac:dyDescent="0.2">
      <c r="B62" s="72" t="s">
        <v>132</v>
      </c>
      <c r="C62" s="112">
        <v>-0.109</v>
      </c>
      <c r="D62" s="112">
        <v>7.3999999999999996E-2</v>
      </c>
      <c r="E62" s="112">
        <v>-0.02</v>
      </c>
      <c r="F62" s="112">
        <v>-7.1999999999999995E-2</v>
      </c>
      <c r="G62" s="112">
        <v>0.44500000000000001</v>
      </c>
      <c r="H62" s="112">
        <v>0.55600000000000005</v>
      </c>
      <c r="I62" s="112">
        <v>0.22600000000000001</v>
      </c>
      <c r="J62" s="112">
        <v>0.40100000000000002</v>
      </c>
      <c r="K62" s="112">
        <v>-0.19400000000000001</v>
      </c>
      <c r="L62" s="112">
        <v>0.191</v>
      </c>
      <c r="M62" s="112">
        <v>0.13100000000000001</v>
      </c>
      <c r="N62" s="112">
        <v>0.21199999999999999</v>
      </c>
      <c r="O62" s="112">
        <v>9.2999999999999999E-2</v>
      </c>
      <c r="P62" s="112">
        <v>0.223</v>
      </c>
      <c r="Q62" s="112">
        <v>0.23499999999999999</v>
      </c>
      <c r="R62" s="151">
        <v>0.88800000000000001</v>
      </c>
      <c r="S62" s="112"/>
      <c r="T62" s="112"/>
      <c r="U62" s="112"/>
      <c r="V62" s="112"/>
      <c r="W62" s="112"/>
      <c r="X62" s="112"/>
      <c r="Y62" s="112"/>
      <c r="Z62" s="112"/>
      <c r="AA62" s="112"/>
    </row>
    <row r="63" spans="2:27" x14ac:dyDescent="0.2">
      <c r="B63" s="72"/>
      <c r="C63" s="112">
        <v>0.75</v>
      </c>
      <c r="D63" s="112">
        <v>0.83</v>
      </c>
      <c r="E63" s="112">
        <v>0.95299999999999996</v>
      </c>
      <c r="F63" s="112">
        <v>0.83399999999999996</v>
      </c>
      <c r="G63" s="112">
        <v>0.17</v>
      </c>
      <c r="H63" s="112">
        <v>7.5999999999999998E-2</v>
      </c>
      <c r="I63" s="112">
        <v>0.503</v>
      </c>
      <c r="J63" s="112">
        <v>0.222</v>
      </c>
      <c r="K63" s="112">
        <v>0.56799999999999995</v>
      </c>
      <c r="L63" s="112">
        <v>0.57499999999999996</v>
      </c>
      <c r="M63" s="112">
        <v>0.70199999999999996</v>
      </c>
      <c r="N63" s="112">
        <v>0.53200000000000003</v>
      </c>
      <c r="O63" s="112">
        <v>0.78600000000000003</v>
      </c>
      <c r="P63" s="112">
        <v>0.50900000000000001</v>
      </c>
      <c r="Q63" s="112">
        <v>0.48699999999999999</v>
      </c>
      <c r="R63" s="134">
        <v>0</v>
      </c>
      <c r="S63" s="112"/>
      <c r="T63" s="112"/>
      <c r="U63" s="112"/>
      <c r="V63" s="112"/>
      <c r="W63" s="112"/>
      <c r="X63" s="112"/>
      <c r="Y63" s="112"/>
      <c r="Z63" s="112"/>
      <c r="AA63" s="112"/>
    </row>
    <row r="64" spans="2:27" x14ac:dyDescent="0.2">
      <c r="B64" s="7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</row>
    <row r="65" spans="2:27" x14ac:dyDescent="0.2">
      <c r="B65" s="72" t="s">
        <v>113</v>
      </c>
      <c r="C65" s="112">
        <v>3.6999999999999998E-2</v>
      </c>
      <c r="D65" s="112">
        <v>0.55100000000000005</v>
      </c>
      <c r="E65" s="112">
        <v>-0.27600000000000002</v>
      </c>
      <c r="F65" s="112">
        <v>0.40699999999999997</v>
      </c>
      <c r="G65" s="112">
        <v>-0.17799999999999999</v>
      </c>
      <c r="H65" s="112">
        <v>3.5000000000000003E-2</v>
      </c>
      <c r="I65" s="112">
        <v>8.2000000000000003E-2</v>
      </c>
      <c r="J65" s="112">
        <v>0.214</v>
      </c>
      <c r="K65" s="112">
        <v>0.441</v>
      </c>
      <c r="L65" s="112">
        <v>0.51800000000000002</v>
      </c>
      <c r="M65" s="112">
        <v>0.123</v>
      </c>
      <c r="N65" s="112">
        <v>-1.6E-2</v>
      </c>
      <c r="O65" s="151">
        <v>0.77600000000000002</v>
      </c>
      <c r="P65" s="112">
        <v>0.17899999999999999</v>
      </c>
      <c r="Q65" s="151">
        <v>0.78900000000000003</v>
      </c>
      <c r="R65" s="112">
        <v>0.22500000000000001</v>
      </c>
      <c r="S65" s="112">
        <v>-0.12</v>
      </c>
      <c r="T65" s="112"/>
      <c r="U65" s="112"/>
      <c r="V65" s="112"/>
      <c r="W65" s="112"/>
      <c r="X65" s="112"/>
      <c r="Y65" s="112"/>
      <c r="Z65" s="112"/>
      <c r="AA65" s="112"/>
    </row>
    <row r="66" spans="2:27" x14ac:dyDescent="0.2">
      <c r="B66" s="72"/>
      <c r="C66" s="112">
        <v>0.91400000000000003</v>
      </c>
      <c r="D66" s="112">
        <v>7.9000000000000001E-2</v>
      </c>
      <c r="E66" s="112">
        <v>0.41099999999999998</v>
      </c>
      <c r="F66" s="112">
        <v>0.214</v>
      </c>
      <c r="G66" s="112">
        <v>0.6</v>
      </c>
      <c r="H66" s="112">
        <v>0.91800000000000004</v>
      </c>
      <c r="I66" s="112">
        <v>0.81200000000000006</v>
      </c>
      <c r="J66" s="112">
        <v>0.52700000000000002</v>
      </c>
      <c r="K66" s="112">
        <v>0.17399999999999999</v>
      </c>
      <c r="L66" s="112">
        <v>0.10299999999999999</v>
      </c>
      <c r="M66" s="112">
        <v>0.71799999999999997</v>
      </c>
      <c r="N66" s="112">
        <v>0.96199999999999997</v>
      </c>
      <c r="O66" s="134">
        <v>5.0000000000000001E-3</v>
      </c>
      <c r="P66" s="112">
        <v>0.59899999999999998</v>
      </c>
      <c r="Q66" s="134">
        <v>4.0000000000000001E-3</v>
      </c>
      <c r="R66" s="112">
        <v>0.50700000000000001</v>
      </c>
      <c r="S66" s="112">
        <v>0.72599999999999998</v>
      </c>
      <c r="T66" s="112"/>
      <c r="U66" s="112"/>
      <c r="V66" s="112"/>
      <c r="W66" s="112"/>
      <c r="X66" s="112"/>
      <c r="Y66" s="112"/>
      <c r="Z66" s="112"/>
      <c r="AA66" s="112"/>
    </row>
    <row r="67" spans="2:27" x14ac:dyDescent="0.2">
      <c r="B67" s="7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</row>
    <row r="68" spans="2:27" x14ac:dyDescent="0.2">
      <c r="B68" s="72" t="s">
        <v>135</v>
      </c>
      <c r="C68" s="112">
        <v>-0.50800000000000001</v>
      </c>
      <c r="D68" s="112">
        <v>-0.52700000000000002</v>
      </c>
      <c r="E68" s="112">
        <v>-2.4E-2</v>
      </c>
      <c r="F68" s="112">
        <v>-0.434</v>
      </c>
      <c r="G68" s="151">
        <v>0.84599999999999997</v>
      </c>
      <c r="H68" s="151">
        <v>0.75600000000000001</v>
      </c>
      <c r="I68" s="112">
        <v>0.35</v>
      </c>
      <c r="J68" s="112">
        <v>0.62</v>
      </c>
      <c r="K68" s="112">
        <v>-0.59499999999999997</v>
      </c>
      <c r="L68" s="112">
        <v>-0.443</v>
      </c>
      <c r="M68" s="112">
        <v>0.435</v>
      </c>
      <c r="N68" s="112">
        <v>0.33400000000000002</v>
      </c>
      <c r="O68" s="112">
        <v>6.0999999999999999E-2</v>
      </c>
      <c r="P68" s="112">
        <v>0.27800000000000002</v>
      </c>
      <c r="Q68" s="112">
        <v>0.13200000000000001</v>
      </c>
      <c r="R68" s="112">
        <v>0.35599999999999998</v>
      </c>
      <c r="S68" s="112">
        <v>0.39800000000000002</v>
      </c>
      <c r="T68" s="112">
        <v>-0.28499999999999998</v>
      </c>
      <c r="U68" s="112"/>
      <c r="V68" s="112"/>
      <c r="W68" s="112"/>
      <c r="X68" s="112"/>
      <c r="Y68" s="112"/>
      <c r="Z68" s="112"/>
      <c r="AA68" s="112"/>
    </row>
    <row r="69" spans="2:27" x14ac:dyDescent="0.2">
      <c r="B69" s="72"/>
      <c r="C69" s="112">
        <v>0.111</v>
      </c>
      <c r="D69" s="112">
        <v>9.6000000000000002E-2</v>
      </c>
      <c r="E69" s="112">
        <v>0.94399999999999995</v>
      </c>
      <c r="F69" s="112">
        <v>0.183</v>
      </c>
      <c r="G69" s="134">
        <v>1E-3</v>
      </c>
      <c r="H69" s="134">
        <v>7.0000000000000001E-3</v>
      </c>
      <c r="I69" s="112">
        <v>0.29099999999999998</v>
      </c>
      <c r="J69" s="112">
        <v>4.2000000000000003E-2</v>
      </c>
      <c r="K69" s="112">
        <v>5.2999999999999999E-2</v>
      </c>
      <c r="L69" s="112">
        <v>0.17199999999999999</v>
      </c>
      <c r="M69" s="112">
        <v>0.18099999999999999</v>
      </c>
      <c r="N69" s="112">
        <v>0.316</v>
      </c>
      <c r="O69" s="112">
        <v>0.85799999999999998</v>
      </c>
      <c r="P69" s="112">
        <v>0.40699999999999997</v>
      </c>
      <c r="Q69" s="112">
        <v>0.69899999999999995</v>
      </c>
      <c r="R69" s="112">
        <v>0.28299999999999997</v>
      </c>
      <c r="S69" s="112">
        <v>0.22600000000000001</v>
      </c>
      <c r="T69" s="112">
        <v>0.39600000000000002</v>
      </c>
      <c r="U69" s="112"/>
      <c r="V69" s="112"/>
      <c r="W69" s="112"/>
      <c r="X69" s="112"/>
      <c r="Y69" s="112"/>
      <c r="Z69" s="112"/>
      <c r="AA69" s="112"/>
    </row>
    <row r="70" spans="2:27" x14ac:dyDescent="0.2">
      <c r="B70" s="7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</row>
    <row r="71" spans="2:27" x14ac:dyDescent="0.2">
      <c r="B71" s="7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2"/>
      <c r="Q71" s="113"/>
      <c r="R71" s="112"/>
      <c r="S71" s="113"/>
      <c r="T71" s="113"/>
      <c r="U71" s="113"/>
      <c r="V71" s="112"/>
      <c r="W71" s="112"/>
      <c r="X71" s="112"/>
      <c r="Y71" s="112"/>
      <c r="Z71" s="112"/>
      <c r="AA71" s="112"/>
    </row>
    <row r="72" spans="2:27" x14ac:dyDescent="0.2">
      <c r="B72" s="7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2"/>
      <c r="Q72" s="113"/>
      <c r="R72" s="112"/>
      <c r="S72" s="113"/>
      <c r="T72" s="113"/>
      <c r="U72" s="113"/>
      <c r="V72" s="112"/>
      <c r="W72" s="112"/>
      <c r="X72" s="112"/>
      <c r="Y72" s="112"/>
      <c r="Z72" s="112"/>
      <c r="AA72" s="112"/>
    </row>
    <row r="73" spans="2:27" x14ac:dyDescent="0.2">
      <c r="B73" s="7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</row>
    <row r="74" spans="2:27" x14ac:dyDescent="0.2">
      <c r="B74" s="72"/>
      <c r="C74" s="112"/>
      <c r="D74" s="112"/>
      <c r="E74" s="112"/>
      <c r="F74" s="112"/>
      <c r="G74" s="112"/>
      <c r="H74" s="112"/>
      <c r="I74" s="112"/>
      <c r="J74" s="113"/>
      <c r="K74" s="113"/>
      <c r="L74" s="113"/>
      <c r="M74" s="113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</row>
    <row r="75" spans="2:27" x14ac:dyDescent="0.2">
      <c r="B75" s="72"/>
      <c r="C75" s="112"/>
      <c r="D75" s="112"/>
      <c r="E75" s="112"/>
      <c r="F75" s="112"/>
      <c r="G75" s="112"/>
      <c r="H75" s="112"/>
      <c r="I75" s="112"/>
      <c r="J75" s="113"/>
      <c r="K75" s="113"/>
      <c r="L75" s="113"/>
      <c r="M75" s="113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</row>
    <row r="76" spans="2:27" x14ac:dyDescent="0.2">
      <c r="B76" s="7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</row>
    <row r="77" spans="2:27" x14ac:dyDescent="0.2">
      <c r="B77" s="7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</row>
    <row r="78" spans="2:27" x14ac:dyDescent="0.2">
      <c r="B78" s="7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</row>
    <row r="79" spans="2:27" x14ac:dyDescent="0.2">
      <c r="B79" s="7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</row>
    <row r="80" spans="2:27" x14ac:dyDescent="0.2">
      <c r="B80" s="72"/>
      <c r="C80" s="112"/>
      <c r="D80" s="112"/>
      <c r="E80" s="113"/>
      <c r="F80" s="112"/>
      <c r="G80" s="112"/>
      <c r="H80" s="112"/>
      <c r="I80" s="112"/>
      <c r="J80" s="113"/>
      <c r="K80" s="112"/>
      <c r="L80" s="113"/>
      <c r="M80" s="113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</row>
    <row r="81" spans="2:27" x14ac:dyDescent="0.2">
      <c r="B81" s="72"/>
      <c r="C81" s="112"/>
      <c r="D81" s="112"/>
      <c r="E81" s="113"/>
      <c r="F81" s="112"/>
      <c r="G81" s="112"/>
      <c r="H81" s="112"/>
      <c r="I81" s="112"/>
      <c r="J81" s="113"/>
      <c r="K81" s="112"/>
      <c r="L81" s="113"/>
      <c r="M81" s="113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</row>
    <row r="82" spans="2:27" x14ac:dyDescent="0.2">
      <c r="B82" s="7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</row>
    <row r="83" spans="2:27" x14ac:dyDescent="0.2">
      <c r="B83" s="72"/>
      <c r="C83" s="112"/>
      <c r="D83" s="112"/>
      <c r="E83" s="112"/>
      <c r="F83" s="112"/>
      <c r="G83" s="112"/>
      <c r="H83" s="112"/>
      <c r="I83" s="112"/>
      <c r="J83" s="112"/>
      <c r="K83" s="112"/>
      <c r="L83" s="113"/>
      <c r="M83" s="113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3"/>
      <c r="Y83" s="113"/>
      <c r="Z83" s="112"/>
      <c r="AA83" s="112"/>
    </row>
    <row r="84" spans="2:27" x14ac:dyDescent="0.2">
      <c r="B84" s="72"/>
      <c r="C84" s="112"/>
      <c r="D84" s="112"/>
      <c r="E84" s="112"/>
      <c r="F84" s="112"/>
      <c r="G84" s="112"/>
      <c r="H84" s="112"/>
      <c r="I84" s="112"/>
      <c r="J84" s="112"/>
      <c r="K84" s="112"/>
      <c r="L84" s="113"/>
      <c r="M84" s="113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3"/>
      <c r="Y84" s="113"/>
      <c r="Z84" s="112"/>
      <c r="AA84" s="112"/>
    </row>
    <row r="85" spans="2:27" x14ac:dyDescent="0.2">
      <c r="B85" s="7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</row>
    <row r="86" spans="2:27" x14ac:dyDescent="0.2">
      <c r="B86" s="7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</row>
    <row r="87" spans="2:27" x14ac:dyDescent="0.2">
      <c r="B87" s="7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</row>
    <row r="88" spans="2:27" x14ac:dyDescent="0.2">
      <c r="B88" s="7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</row>
    <row r="89" spans="2:27" x14ac:dyDescent="0.2">
      <c r="B89" s="7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3"/>
      <c r="S89" s="112"/>
      <c r="T89" s="112"/>
      <c r="U89" s="112"/>
      <c r="V89" s="112"/>
      <c r="W89" s="112"/>
      <c r="X89" s="112"/>
      <c r="Y89" s="112"/>
      <c r="Z89" s="112"/>
      <c r="AA89" s="113"/>
    </row>
    <row r="90" spans="2:27" x14ac:dyDescent="0.2">
      <c r="B90" s="7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3"/>
      <c r="S90" s="112"/>
      <c r="T90" s="112"/>
      <c r="U90" s="112"/>
      <c r="V90" s="112"/>
      <c r="W90" s="112"/>
      <c r="X90" s="112"/>
      <c r="Y90" s="112"/>
      <c r="Z90" s="112"/>
      <c r="AA90" s="113"/>
    </row>
    <row r="97" spans="3:28" ht="15" x14ac:dyDescent="0.25">
      <c r="C97" s="114"/>
      <c r="D97" s="115"/>
      <c r="E97" s="116"/>
      <c r="F97" s="116"/>
      <c r="G97" s="117"/>
      <c r="H97" s="117"/>
      <c r="I97" s="114"/>
      <c r="J97" s="114"/>
      <c r="K97" s="114"/>
      <c r="L97" s="114"/>
      <c r="M97" s="114"/>
      <c r="N97" s="114"/>
      <c r="O97" s="114"/>
      <c r="P97" s="114"/>
      <c r="Q97" s="117"/>
      <c r="R97" s="117"/>
      <c r="S97" s="117"/>
      <c r="T97" s="117"/>
      <c r="U97" s="117"/>
      <c r="V97" s="117"/>
      <c r="W97" s="114"/>
      <c r="X97" s="114"/>
      <c r="Y97" s="114"/>
      <c r="Z97" s="117"/>
      <c r="AA97" s="114"/>
      <c r="AB97" s="116"/>
    </row>
    <row r="98" spans="3:28" x14ac:dyDescent="0.2">
      <c r="G98" s="72"/>
      <c r="H98" s="72"/>
      <c r="I98" s="72"/>
    </row>
    <row r="99" spans="3:28" ht="15" x14ac:dyDescent="0.25">
      <c r="C99" s="114"/>
      <c r="D99" s="118"/>
      <c r="E99" s="118"/>
      <c r="F99" s="118"/>
      <c r="G99" s="118"/>
      <c r="H99" s="118"/>
      <c r="I99" s="118"/>
    </row>
    <row r="100" spans="3:28" ht="15" x14ac:dyDescent="0.25">
      <c r="C100" s="115"/>
      <c r="D100" s="118"/>
      <c r="E100" s="118"/>
      <c r="F100" s="118"/>
      <c r="G100" s="118"/>
      <c r="H100" s="118"/>
      <c r="I100" s="118"/>
    </row>
    <row r="101" spans="3:28" ht="15" x14ac:dyDescent="0.25">
      <c r="C101" s="116"/>
      <c r="D101" s="118"/>
      <c r="E101" s="118"/>
      <c r="F101" s="118"/>
      <c r="G101" s="118"/>
      <c r="H101" s="118"/>
      <c r="I101" s="118"/>
    </row>
    <row r="102" spans="3:28" ht="15" x14ac:dyDescent="0.25">
      <c r="C102" s="116"/>
      <c r="D102" s="118"/>
      <c r="E102" s="118"/>
      <c r="F102" s="118"/>
      <c r="G102" s="118"/>
      <c r="H102" s="118"/>
      <c r="I102" s="118"/>
    </row>
    <row r="103" spans="3:28" ht="15" x14ac:dyDescent="0.25">
      <c r="C103" s="117"/>
      <c r="D103" s="118"/>
      <c r="E103" s="118"/>
      <c r="F103" s="118"/>
      <c r="G103" s="118"/>
      <c r="H103" s="118"/>
      <c r="I103" s="118"/>
    </row>
    <row r="104" spans="3:28" ht="15" x14ac:dyDescent="0.25">
      <c r="C104" s="117"/>
      <c r="D104" s="118"/>
      <c r="E104" s="118"/>
      <c r="F104" s="118"/>
      <c r="G104" s="118"/>
      <c r="H104" s="118"/>
      <c r="I104" s="118"/>
    </row>
    <row r="105" spans="3:28" ht="15" x14ac:dyDescent="0.25">
      <c r="C105" s="114"/>
      <c r="D105" s="118"/>
      <c r="E105" s="118"/>
      <c r="F105" s="118"/>
      <c r="G105" s="118"/>
      <c r="H105" s="118"/>
      <c r="I105" s="118"/>
    </row>
    <row r="106" spans="3:28" ht="15" x14ac:dyDescent="0.25">
      <c r="C106" s="114"/>
      <c r="D106" s="118"/>
      <c r="E106" s="118"/>
      <c r="F106" s="118"/>
      <c r="G106" s="118"/>
      <c r="H106" s="118"/>
      <c r="I106" s="118"/>
    </row>
    <row r="107" spans="3:28" ht="15" x14ac:dyDescent="0.25">
      <c r="C107" s="114"/>
      <c r="D107" s="118"/>
      <c r="E107" s="118"/>
      <c r="F107" s="118"/>
      <c r="G107" s="118"/>
      <c r="H107" s="118"/>
      <c r="I107" s="118"/>
    </row>
    <row r="108" spans="3:28" ht="15" x14ac:dyDescent="0.25">
      <c r="C108" s="114"/>
      <c r="D108" s="118"/>
      <c r="E108" s="118"/>
      <c r="F108" s="118"/>
      <c r="G108" s="118"/>
      <c r="H108" s="118"/>
      <c r="I108" s="118"/>
    </row>
    <row r="109" spans="3:28" ht="15" x14ac:dyDescent="0.25">
      <c r="C109" s="114"/>
      <c r="D109" s="118"/>
      <c r="E109" s="118"/>
      <c r="F109" s="118"/>
      <c r="G109" s="118"/>
      <c r="H109" s="118"/>
      <c r="I109" s="118"/>
    </row>
    <row r="110" spans="3:28" ht="15" x14ac:dyDescent="0.25">
      <c r="C110" s="114"/>
      <c r="D110" s="118"/>
      <c r="E110" s="118"/>
      <c r="F110" s="118"/>
      <c r="G110" s="118"/>
      <c r="H110" s="118"/>
      <c r="I110" s="118"/>
    </row>
    <row r="111" spans="3:28" ht="15" x14ac:dyDescent="0.25">
      <c r="C111" s="114"/>
      <c r="D111" s="118"/>
      <c r="E111" s="118"/>
      <c r="F111" s="118"/>
      <c r="G111" s="118"/>
      <c r="H111" s="118"/>
      <c r="I111" s="118"/>
    </row>
    <row r="112" spans="3:28" ht="15" x14ac:dyDescent="0.25">
      <c r="C112" s="114"/>
      <c r="D112" s="118"/>
      <c r="E112" s="118"/>
      <c r="F112" s="118"/>
      <c r="G112" s="118"/>
      <c r="H112" s="118"/>
      <c r="I112" s="118"/>
    </row>
    <row r="113" spans="3:9" ht="15" x14ac:dyDescent="0.25">
      <c r="C113" s="117"/>
      <c r="D113" s="118"/>
      <c r="E113" s="118"/>
      <c r="F113" s="118"/>
      <c r="G113" s="118"/>
      <c r="H113" s="118"/>
      <c r="I113" s="118"/>
    </row>
    <row r="114" spans="3:9" ht="15" x14ac:dyDescent="0.25">
      <c r="C114" s="117"/>
      <c r="D114" s="118"/>
      <c r="E114" s="118"/>
      <c r="F114" s="118"/>
      <c r="G114" s="118"/>
      <c r="H114" s="118"/>
      <c r="I114" s="118"/>
    </row>
    <row r="115" spans="3:9" ht="15" x14ac:dyDescent="0.25">
      <c r="C115" s="117"/>
      <c r="D115" s="118"/>
      <c r="E115" s="118"/>
      <c r="F115" s="118"/>
      <c r="G115" s="118"/>
      <c r="H115" s="118"/>
      <c r="I115" s="118"/>
    </row>
    <row r="116" spans="3:9" ht="15" x14ac:dyDescent="0.25">
      <c r="C116" s="117"/>
      <c r="D116" s="118"/>
      <c r="E116" s="118"/>
      <c r="F116" s="118"/>
      <c r="G116" s="118"/>
      <c r="H116" s="118"/>
      <c r="I116" s="118"/>
    </row>
    <row r="117" spans="3:9" ht="15" x14ac:dyDescent="0.25">
      <c r="C117" s="117"/>
      <c r="D117" s="118"/>
      <c r="E117" s="118"/>
      <c r="F117" s="118"/>
      <c r="G117" s="118"/>
      <c r="H117" s="118"/>
      <c r="I117" s="118"/>
    </row>
    <row r="118" spans="3:9" ht="15" x14ac:dyDescent="0.25">
      <c r="C118" s="117"/>
      <c r="D118" s="118"/>
      <c r="E118" s="118"/>
      <c r="F118" s="118"/>
      <c r="G118" s="118"/>
      <c r="H118" s="118"/>
      <c r="I118" s="118"/>
    </row>
    <row r="119" spans="3:9" ht="15" x14ac:dyDescent="0.25">
      <c r="C119" s="114"/>
      <c r="D119" s="118"/>
      <c r="E119" s="118"/>
      <c r="F119" s="118"/>
      <c r="G119" s="118"/>
      <c r="H119" s="118"/>
      <c r="I119" s="118"/>
    </row>
    <row r="120" spans="3:9" ht="15" x14ac:dyDescent="0.25">
      <c r="C120" s="114"/>
      <c r="D120" s="118"/>
      <c r="E120" s="118"/>
      <c r="F120" s="118"/>
      <c r="G120" s="118"/>
      <c r="H120" s="118"/>
      <c r="I120" s="118"/>
    </row>
    <row r="121" spans="3:9" ht="15" x14ac:dyDescent="0.25">
      <c r="C121" s="114"/>
      <c r="D121" s="118"/>
      <c r="E121" s="118"/>
      <c r="F121" s="118"/>
      <c r="G121" s="118"/>
      <c r="H121" s="118"/>
      <c r="I121" s="118"/>
    </row>
    <row r="122" spans="3:9" ht="15" x14ac:dyDescent="0.25">
      <c r="C122" s="117"/>
      <c r="D122" s="118"/>
      <c r="E122" s="118"/>
      <c r="F122" s="118"/>
      <c r="G122" s="118"/>
      <c r="H122" s="118"/>
      <c r="I122" s="118"/>
    </row>
    <row r="123" spans="3:9" ht="15" x14ac:dyDescent="0.25">
      <c r="C123" s="114"/>
      <c r="D123" s="118"/>
      <c r="E123" s="118"/>
      <c r="F123" s="118"/>
      <c r="G123" s="118"/>
      <c r="H123" s="118"/>
      <c r="I123" s="118"/>
    </row>
    <row r="124" spans="3:9" ht="15" x14ac:dyDescent="0.25">
      <c r="C124" s="116"/>
      <c r="D124" s="118"/>
      <c r="E124" s="118"/>
      <c r="F124" s="118"/>
      <c r="G124" s="118"/>
      <c r="H124" s="118"/>
      <c r="I124" s="118"/>
    </row>
    <row r="125" spans="3:9" ht="15" x14ac:dyDescent="0.25">
      <c r="D125" s="118"/>
      <c r="E125" s="118"/>
      <c r="F125" s="118"/>
      <c r="G125" s="118"/>
      <c r="H125" s="118"/>
      <c r="I125" s="118"/>
    </row>
    <row r="126" spans="3:9" ht="15" x14ac:dyDescent="0.25">
      <c r="D126" s="118"/>
      <c r="E126" s="118"/>
      <c r="F126" s="118"/>
      <c r="G126" s="118"/>
      <c r="H126" s="118"/>
      <c r="I126" s="118"/>
    </row>
    <row r="127" spans="3:9" ht="15" x14ac:dyDescent="0.25">
      <c r="D127" s="118"/>
      <c r="E127" s="118"/>
      <c r="F127" s="118"/>
      <c r="G127" s="118"/>
      <c r="H127" s="118"/>
      <c r="I127" s="118"/>
    </row>
    <row r="128" spans="3:9" ht="15" x14ac:dyDescent="0.25">
      <c r="D128" s="118"/>
      <c r="E128" s="118"/>
      <c r="F128" s="118"/>
      <c r="G128" s="118"/>
      <c r="H128" s="118"/>
      <c r="I128" s="118"/>
    </row>
    <row r="129" spans="4:9" ht="15" x14ac:dyDescent="0.25">
      <c r="D129" s="118"/>
      <c r="E129" s="118"/>
      <c r="F129" s="118"/>
      <c r="G129" s="118"/>
      <c r="H129" s="118"/>
      <c r="I129" s="118"/>
    </row>
    <row r="130" spans="4:9" ht="15" x14ac:dyDescent="0.25">
      <c r="D130" s="118"/>
      <c r="E130" s="118"/>
      <c r="F130" s="118"/>
      <c r="G130" s="118"/>
      <c r="H130" s="118"/>
      <c r="I130" s="118"/>
    </row>
    <row r="131" spans="4:9" ht="15" x14ac:dyDescent="0.25">
      <c r="D131" s="118"/>
      <c r="E131" s="118"/>
      <c r="F131" s="118"/>
      <c r="G131" s="118"/>
      <c r="H131" s="118"/>
      <c r="I131" s="11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397"/>
  <sheetViews>
    <sheetView topLeftCell="C1" zoomScale="85" zoomScaleNormal="85" workbookViewId="0">
      <pane ySplit="1095" activePane="bottomLeft"/>
      <selection activeCell="C1" sqref="C1 A29:XFD32 A39:XFD42"/>
      <selection pane="bottomLeft" activeCell="C10" sqref="C10"/>
    </sheetView>
  </sheetViews>
  <sheetFormatPr defaultColWidth="8.85546875" defaultRowHeight="15" x14ac:dyDescent="0.25"/>
  <cols>
    <col min="1" max="1" width="9.140625" style="135" hidden="1" customWidth="1"/>
    <col min="2" max="2" width="9.28515625" style="128" customWidth="1"/>
    <col min="3" max="3" width="20.42578125" style="109" customWidth="1"/>
    <col min="4" max="4" width="21.7109375" style="109" customWidth="1"/>
    <col min="5" max="5" width="16.7109375" style="129" customWidth="1"/>
    <col min="6" max="6" width="8" style="42" customWidth="1"/>
    <col min="7" max="7" width="27.28515625" style="5" customWidth="1"/>
    <col min="8" max="8" width="8.85546875" style="62" customWidth="1"/>
    <col min="9" max="9" width="15.140625" style="192" customWidth="1"/>
    <col min="10" max="10" width="12" style="193" customWidth="1"/>
    <col min="11" max="11" width="14.42578125" style="194" customWidth="1"/>
    <col min="12" max="12" width="11.42578125" style="122" customWidth="1"/>
    <col min="13" max="13" width="15.85546875" style="122" customWidth="1"/>
    <col min="14" max="14" width="16.7109375" style="119" bestFit="1" customWidth="1"/>
    <col min="15" max="15" width="22.42578125" style="119" bestFit="1" customWidth="1"/>
    <col min="16" max="16" width="13" style="119" customWidth="1"/>
    <col min="17" max="17" width="16.42578125" style="119" bestFit="1" customWidth="1"/>
    <col min="18" max="29" width="16.42578125" style="119" customWidth="1"/>
    <col min="30" max="30" width="20.140625" style="119" customWidth="1"/>
    <col min="31" max="31" width="15.7109375" style="119" bestFit="1" customWidth="1"/>
    <col min="32" max="33" width="16" style="119" customWidth="1"/>
    <col min="34" max="34" width="15.85546875" style="119" customWidth="1"/>
    <col min="35" max="39" width="16.140625" style="119" customWidth="1"/>
    <col min="40" max="41" width="19" style="119" bestFit="1" customWidth="1"/>
    <col min="42" max="42" width="22.28515625" style="119" customWidth="1"/>
    <col min="43" max="43" width="28.42578125" style="119" bestFit="1" customWidth="1"/>
    <col min="44" max="44" width="14.140625" style="119" customWidth="1"/>
    <col min="45" max="48" width="9" style="119" customWidth="1"/>
    <col min="49" max="49" width="15.42578125" style="32" bestFit="1" customWidth="1"/>
    <col min="50" max="50" width="16.140625" style="32" bestFit="1" customWidth="1"/>
    <col min="51" max="51" width="16.140625" style="32" customWidth="1"/>
    <col min="52" max="52" width="8.85546875" style="5" customWidth="1"/>
    <col min="53" max="53" width="14.42578125" style="5" customWidth="1"/>
    <col min="54" max="58" width="8.85546875" style="5" customWidth="1"/>
    <col min="59" max="16384" width="8.85546875" style="135"/>
  </cols>
  <sheetData>
    <row r="1" spans="1:88" s="176" customFormat="1" ht="15.75" customHeight="1" x14ac:dyDescent="0.25">
      <c r="B1" s="177"/>
      <c r="D1" s="128" t="s">
        <v>69</v>
      </c>
      <c r="E1" s="178" t="s">
        <v>70</v>
      </c>
      <c r="F1" s="147"/>
      <c r="G1" s="13"/>
      <c r="H1" s="60"/>
      <c r="I1" s="179" t="s">
        <v>71</v>
      </c>
      <c r="J1" s="180"/>
      <c r="K1" s="181"/>
      <c r="L1" s="182" t="s">
        <v>31</v>
      </c>
      <c r="M1" s="182" t="s">
        <v>60</v>
      </c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77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77"/>
      <c r="AR1" s="326"/>
      <c r="AS1" s="326"/>
      <c r="AT1" s="326"/>
      <c r="AU1" s="326"/>
      <c r="AV1" s="326"/>
      <c r="AW1" s="54"/>
      <c r="AX1" s="54"/>
      <c r="AY1" s="54"/>
      <c r="AZ1" s="182"/>
      <c r="BA1" s="45"/>
      <c r="BB1" s="46"/>
      <c r="BC1" s="46"/>
      <c r="BD1" s="46"/>
      <c r="BE1" s="46"/>
      <c r="BF1" s="46"/>
    </row>
    <row r="2" spans="1:88" s="176" customFormat="1" ht="18" x14ac:dyDescent="0.35">
      <c r="B2" s="128" t="s">
        <v>63</v>
      </c>
      <c r="C2" s="128" t="s">
        <v>64</v>
      </c>
      <c r="D2" s="128" t="s">
        <v>65</v>
      </c>
      <c r="E2" s="178" t="s">
        <v>66</v>
      </c>
      <c r="F2" s="147" t="s">
        <v>67</v>
      </c>
      <c r="G2" s="13" t="s">
        <v>148</v>
      </c>
      <c r="H2" s="60"/>
      <c r="I2" s="183" t="s">
        <v>68</v>
      </c>
      <c r="J2" s="184" t="s">
        <v>101</v>
      </c>
      <c r="K2" s="181" t="s">
        <v>35</v>
      </c>
      <c r="L2" s="185" t="s">
        <v>36</v>
      </c>
      <c r="M2" s="185" t="s">
        <v>37</v>
      </c>
      <c r="N2" s="131" t="s">
        <v>149</v>
      </c>
      <c r="O2" s="176" t="s">
        <v>130</v>
      </c>
      <c r="P2" s="176" t="s">
        <v>131</v>
      </c>
      <c r="Q2" s="77" t="s">
        <v>38</v>
      </c>
      <c r="R2" s="77" t="s">
        <v>39</v>
      </c>
      <c r="S2" s="77" t="s">
        <v>40</v>
      </c>
      <c r="T2" s="77" t="s">
        <v>41</v>
      </c>
      <c r="U2" s="77" t="s">
        <v>1</v>
      </c>
      <c r="V2" s="77" t="s">
        <v>2</v>
      </c>
      <c r="W2" s="77" t="s">
        <v>114</v>
      </c>
      <c r="X2" s="77" t="s">
        <v>97</v>
      </c>
      <c r="Y2" s="77" t="s">
        <v>98</v>
      </c>
      <c r="Z2" s="77" t="s">
        <v>42</v>
      </c>
      <c r="AA2" s="77" t="s">
        <v>72</v>
      </c>
      <c r="AB2" s="77" t="s">
        <v>112</v>
      </c>
      <c r="AC2" s="54" t="s">
        <v>33</v>
      </c>
      <c r="AD2" s="54" t="s">
        <v>34</v>
      </c>
      <c r="AE2" s="54" t="s">
        <v>113</v>
      </c>
      <c r="AF2" s="45" t="s">
        <v>6</v>
      </c>
      <c r="AG2" s="46" t="s">
        <v>7</v>
      </c>
      <c r="AH2" s="46" t="s">
        <v>8</v>
      </c>
      <c r="AI2" s="46" t="s">
        <v>9</v>
      </c>
      <c r="AJ2" s="46" t="s">
        <v>10</v>
      </c>
      <c r="AK2" s="46" t="s">
        <v>11</v>
      </c>
      <c r="AL2" s="46" t="s">
        <v>12</v>
      </c>
      <c r="AM2" s="46" t="s">
        <v>13</v>
      </c>
      <c r="AN2" s="49" t="s">
        <v>14</v>
      </c>
      <c r="AO2" s="51" t="s">
        <v>15</v>
      </c>
      <c r="AP2" s="51" t="s">
        <v>16</v>
      </c>
      <c r="AQ2" s="18"/>
      <c r="AR2" s="186" t="s">
        <v>95</v>
      </c>
      <c r="AS2" s="130" t="s">
        <v>38</v>
      </c>
      <c r="AT2" s="130" t="s">
        <v>39</v>
      </c>
      <c r="AU2" s="130" t="s">
        <v>40</v>
      </c>
      <c r="AV2" s="130" t="s">
        <v>41</v>
      </c>
      <c r="AW2" s="77" t="s">
        <v>97</v>
      </c>
      <c r="AX2" s="182" t="s">
        <v>98</v>
      </c>
      <c r="AY2" s="77" t="s">
        <v>42</v>
      </c>
      <c r="AZ2" s="182" t="s">
        <v>72</v>
      </c>
      <c r="BA2" s="182" t="s">
        <v>23</v>
      </c>
      <c r="BB2" s="147" t="s">
        <v>68</v>
      </c>
      <c r="BC2" s="13"/>
      <c r="BD2" s="147" t="s">
        <v>96</v>
      </c>
      <c r="BE2" s="187" t="s">
        <v>96</v>
      </c>
      <c r="BF2" s="188" t="s">
        <v>80</v>
      </c>
    </row>
    <row r="3" spans="1:88" s="176" customFormat="1" ht="17.25" x14ac:dyDescent="0.25">
      <c r="B3" s="128" t="s">
        <v>73</v>
      </c>
      <c r="C3" s="128" t="s">
        <v>74</v>
      </c>
      <c r="D3" s="128"/>
      <c r="E3" s="178" t="s">
        <v>75</v>
      </c>
      <c r="F3" s="147" t="s">
        <v>76</v>
      </c>
      <c r="G3" s="13"/>
      <c r="H3" s="60" t="s">
        <v>77</v>
      </c>
      <c r="I3" s="179" t="s">
        <v>123</v>
      </c>
      <c r="J3" s="180" t="s">
        <v>102</v>
      </c>
      <c r="K3" s="189" t="s">
        <v>52</v>
      </c>
      <c r="L3" s="190" t="s">
        <v>53</v>
      </c>
      <c r="M3" s="190" t="s">
        <v>53</v>
      </c>
      <c r="N3" s="132" t="s">
        <v>30</v>
      </c>
      <c r="O3" s="119"/>
      <c r="P3" s="119"/>
      <c r="Q3" s="92" t="s">
        <v>54</v>
      </c>
      <c r="R3" s="92" t="s">
        <v>54</v>
      </c>
      <c r="S3" s="92" t="s">
        <v>54</v>
      </c>
      <c r="T3" s="92" t="s">
        <v>54</v>
      </c>
      <c r="U3" s="92" t="s">
        <v>79</v>
      </c>
      <c r="V3" s="92" t="s">
        <v>79</v>
      </c>
      <c r="W3" s="92" t="s">
        <v>79</v>
      </c>
      <c r="X3" s="92" t="s">
        <v>99</v>
      </c>
      <c r="Y3" s="92" t="s">
        <v>100</v>
      </c>
      <c r="Z3" s="92" t="s">
        <v>54</v>
      </c>
      <c r="AA3" s="92" t="s">
        <v>54</v>
      </c>
      <c r="AB3" s="92" t="s">
        <v>54</v>
      </c>
      <c r="AC3" s="54" t="s">
        <v>59</v>
      </c>
      <c r="AD3" s="54" t="s">
        <v>59</v>
      </c>
      <c r="AE3" s="54" t="s">
        <v>59</v>
      </c>
      <c r="AF3" s="45"/>
      <c r="AG3" s="46"/>
      <c r="AH3" s="46"/>
      <c r="AI3" s="46" t="s">
        <v>17</v>
      </c>
      <c r="AJ3" s="46"/>
      <c r="AK3" s="46" t="s">
        <v>18</v>
      </c>
      <c r="AL3" s="46"/>
      <c r="AM3" s="46" t="s">
        <v>18</v>
      </c>
      <c r="AN3" s="49" t="s">
        <v>19</v>
      </c>
      <c r="AO3" s="52" t="s">
        <v>19</v>
      </c>
      <c r="AP3" s="52" t="s">
        <v>19</v>
      </c>
      <c r="AQ3" s="31"/>
      <c r="AR3" s="13" t="s">
        <v>78</v>
      </c>
      <c r="AS3" s="13" t="s">
        <v>78</v>
      </c>
      <c r="AT3" s="13" t="s">
        <v>78</v>
      </c>
      <c r="AU3" s="13" t="s">
        <v>78</v>
      </c>
      <c r="AV3" s="13" t="s">
        <v>78</v>
      </c>
      <c r="AW3" s="13" t="s">
        <v>78</v>
      </c>
      <c r="AX3" s="13" t="s">
        <v>78</v>
      </c>
      <c r="AY3" s="13" t="s">
        <v>78</v>
      </c>
      <c r="AZ3" s="13" t="s">
        <v>78</v>
      </c>
      <c r="BA3" s="13" t="s">
        <v>78</v>
      </c>
      <c r="BB3" s="147" t="s">
        <v>78</v>
      </c>
      <c r="BC3" s="13"/>
      <c r="BD3" s="147" t="s">
        <v>78</v>
      </c>
      <c r="BE3" s="187" t="s">
        <v>55</v>
      </c>
      <c r="BF3" s="191" t="s">
        <v>58</v>
      </c>
    </row>
    <row r="4" spans="1:88" s="196" customFormat="1" ht="12.75" customHeight="1" x14ac:dyDescent="0.2">
      <c r="B4" s="45">
        <v>3</v>
      </c>
      <c r="C4" s="152" t="s">
        <v>103</v>
      </c>
      <c r="D4" s="152" t="s">
        <v>0</v>
      </c>
      <c r="E4" s="197" t="s">
        <v>153</v>
      </c>
      <c r="F4" s="153">
        <v>1000</v>
      </c>
      <c r="G4" s="198"/>
      <c r="H4" s="199">
        <v>7.53</v>
      </c>
      <c r="I4" s="200">
        <v>142.38948626045399</v>
      </c>
      <c r="J4" s="201">
        <v>91.9</v>
      </c>
      <c r="K4" s="202">
        <v>21.1</v>
      </c>
      <c r="L4" s="157">
        <v>0.23100000000000001</v>
      </c>
      <c r="M4" s="157">
        <v>0.06</v>
      </c>
      <c r="N4" s="203">
        <v>4.6470000000000002</v>
      </c>
      <c r="O4" s="204">
        <f>L4/N4</f>
        <v>4.9709489993544222E-2</v>
      </c>
      <c r="P4" s="204">
        <f>L4/M4</f>
        <v>3.8500000000000005</v>
      </c>
      <c r="Q4" s="305">
        <v>9.3007893408476328</v>
      </c>
      <c r="R4" s="305">
        <v>1.8350339762777772</v>
      </c>
      <c r="S4" s="305">
        <v>12.312395482003362</v>
      </c>
      <c r="T4" s="305">
        <v>1.2256838518982534</v>
      </c>
      <c r="U4" s="202">
        <v>42.556338028169016</v>
      </c>
      <c r="V4" s="306">
        <v>18.229026770525561</v>
      </c>
      <c r="W4" s="202">
        <v>0.4341257417452401</v>
      </c>
      <c r="X4" s="306">
        <v>6.7702870251819514</v>
      </c>
      <c r="Y4" s="306">
        <v>1.2459988572831171</v>
      </c>
      <c r="Z4" s="307">
        <v>16.536657463256624</v>
      </c>
      <c r="AA4" s="306">
        <v>8.7030625812438964E-2</v>
      </c>
      <c r="AB4" s="306">
        <v>7.0000000000000007E-2</v>
      </c>
      <c r="AC4" s="205">
        <v>38.619999999999997</v>
      </c>
      <c r="AD4" s="205">
        <v>19.021676101063093</v>
      </c>
      <c r="AE4" s="206">
        <f>AC4-AD4</f>
        <v>19.598323898936904</v>
      </c>
      <c r="AF4" s="154">
        <v>3.42</v>
      </c>
      <c r="AG4" s="207">
        <f>10^-AF4</f>
        <v>3.8018939632056113E-4</v>
      </c>
      <c r="AH4" s="207">
        <v>3.1622776601683798E-2</v>
      </c>
      <c r="AI4" s="207">
        <f>+AG4*AH4</f>
        <v>1.2022644346174128E-5</v>
      </c>
      <c r="AJ4" s="207">
        <v>5.0118723362727197E-7</v>
      </c>
      <c r="AK4" s="207">
        <f>+((AJ4/(10^(-H4)))*AI4)*1000000</f>
        <v>204.1737944669533</v>
      </c>
      <c r="AL4" s="207">
        <v>5.6234132519034893E-11</v>
      </c>
      <c r="AM4" s="207">
        <f>+(((AJ4*AL4)/(10^(-H4)))*AI4)*1000000</f>
        <v>1.1481536214968847E-8</v>
      </c>
      <c r="AN4" s="208">
        <f>+AK4+2*AM4</f>
        <v>204.17379448991636</v>
      </c>
      <c r="AO4" s="155">
        <f>+(5.5*(N4))*(10^-(0.96+0.9*H4-0.039*((H4)^2)))/((10^-(0.96+0.9*H4-0.039*((H4)^2)))+(10^-H4))</f>
        <v>25.30793431239659</v>
      </c>
      <c r="AP4" s="155">
        <f>+(5.5*(N4))*(10^-(0.96+0.9*4.5-0.039*((4.5)^2)))/((10^-(0.96+0.9*4.5-0.039*((4.5)^2)))+(10^-4.5))</f>
        <v>16.758467162440613</v>
      </c>
      <c r="AQ4" s="209"/>
      <c r="AR4" s="210">
        <f>(10^-H4)*1000000</f>
        <v>2.9512092266663778E-2</v>
      </c>
      <c r="AS4" s="211">
        <f>(Q4/40.078*1000)*2</f>
        <v>464.1344049527238</v>
      </c>
      <c r="AT4" s="211">
        <f>(R4/24.312*1000)*2</f>
        <v>150.9570562913604</v>
      </c>
      <c r="AU4" s="211">
        <f>(S4/22.99*1000)</f>
        <v>535.55439243163823</v>
      </c>
      <c r="AV4" s="212">
        <f>(T4/39.102*1000)</f>
        <v>31.34580972580056</v>
      </c>
      <c r="AW4" s="211">
        <f>(X4/96.064*1000)*2</f>
        <v>140.95367723979746</v>
      </c>
      <c r="AX4" s="212">
        <f>(Y4/62.0067*1000)</f>
        <v>20.094584251107008</v>
      </c>
      <c r="AY4" s="211">
        <f>(Z4/35.453*1000)</f>
        <v>466.43887578643898</v>
      </c>
      <c r="AZ4" s="210">
        <f>(AA4/18.998)*1000</f>
        <v>4.5810414681776477</v>
      </c>
      <c r="BA4" s="210">
        <f>+AD4/30.97*3</f>
        <v>1.8425905167319754</v>
      </c>
      <c r="BB4" s="211">
        <f>IF(H4&lt;5.5,0,I4-31.62+AR4)</f>
        <v>110.79899835272064</v>
      </c>
      <c r="BC4" s="213"/>
      <c r="BD4" s="211">
        <f>SUM(AR4:AV4)-SUM(AW4:BB4)</f>
        <v>437.311407878816</v>
      </c>
      <c r="BE4" s="156">
        <f>BD4/SUM(AR4:BB4)*100</f>
        <v>22.697066730719438</v>
      </c>
      <c r="BF4" s="214">
        <f>0.5*(SUM(AR4:AV4)+SUM(AW4:AZ4))*0.000001</f>
        <v>9.0704467711965546E-4</v>
      </c>
    </row>
    <row r="5" spans="1:88" s="196" customFormat="1" ht="12.75" x14ac:dyDescent="0.2">
      <c r="B5" s="45">
        <v>8</v>
      </c>
      <c r="C5" s="152" t="s">
        <v>103</v>
      </c>
      <c r="D5" s="152" t="s">
        <v>0</v>
      </c>
      <c r="E5" s="197" t="s">
        <v>164</v>
      </c>
      <c r="F5" s="153">
        <v>2000</v>
      </c>
      <c r="G5" s="157">
        <v>0.28571428571429391</v>
      </c>
      <c r="H5" s="199">
        <v>6.78</v>
      </c>
      <c r="I5" s="200">
        <v>261.03629854471654</v>
      </c>
      <c r="J5" s="201">
        <v>51.7</v>
      </c>
      <c r="K5" s="202">
        <v>22.2</v>
      </c>
      <c r="L5" s="215">
        <v>0.11799999999999999</v>
      </c>
      <c r="M5" s="157">
        <v>1.4E-2</v>
      </c>
      <c r="N5" s="204">
        <v>2.2410000000000001</v>
      </c>
      <c r="O5" s="204">
        <f>L5/N5</f>
        <v>5.2655064703257468E-2</v>
      </c>
      <c r="P5" s="204">
        <f>L5/M5</f>
        <v>8.4285714285714288</v>
      </c>
      <c r="Q5" s="202">
        <v>4.5287100000000002</v>
      </c>
      <c r="R5" s="202">
        <v>0.76590800000000003</v>
      </c>
      <c r="S5" s="202">
        <v>3.6961400000000002</v>
      </c>
      <c r="T5" s="308">
        <v>0</v>
      </c>
      <c r="U5" s="308">
        <v>0</v>
      </c>
      <c r="V5" s="308">
        <v>0</v>
      </c>
      <c r="W5" s="308">
        <v>0</v>
      </c>
      <c r="X5" s="309">
        <v>4.5762153433329855</v>
      </c>
      <c r="Y5" s="309">
        <v>0.65000473225139788</v>
      </c>
      <c r="Z5" s="309">
        <v>7.7247793267257343</v>
      </c>
      <c r="AA5" s="309">
        <v>9.9447393950438001E-2</v>
      </c>
      <c r="AB5" s="309">
        <v>0.4116527681209487</v>
      </c>
      <c r="AC5" s="196">
        <v>42</v>
      </c>
      <c r="AD5" s="196">
        <v>37</v>
      </c>
      <c r="AE5" s="196">
        <v>3</v>
      </c>
      <c r="AF5" s="154">
        <v>3.42</v>
      </c>
      <c r="AG5" s="207">
        <f>10^-AF5</f>
        <v>3.8018939632056113E-4</v>
      </c>
      <c r="AH5" s="207">
        <v>3.1622776601683798E-2</v>
      </c>
      <c r="AI5" s="207">
        <f>+AG5*AH5</f>
        <v>1.2022644346174128E-5</v>
      </c>
      <c r="AJ5" s="207">
        <v>5.0118723362727197E-7</v>
      </c>
      <c r="AK5" s="207">
        <f>+((AJ5/(10^(-H5)))*AI5)*1000000</f>
        <v>36.307805477010206</v>
      </c>
      <c r="AL5" s="207">
        <v>5.6234132519034893E-11</v>
      </c>
      <c r="AM5" s="207">
        <f>+(((AJ5*AL5)/(10^(-H5)))*AI5)*1000000</f>
        <v>2.0417379446695329E-9</v>
      </c>
      <c r="AN5" s="208">
        <f>+AK5+2*AM5</f>
        <v>36.307805481093681</v>
      </c>
      <c r="AO5" s="155">
        <f>+(5.5*(N5))*(10^-(0.96+0.9*H5-0.039*((H5)^2)))/((10^-(0.96+0.9*H5-0.039*((H5)^2)))+(10^-H5))</f>
        <v>11.956656484975232</v>
      </c>
      <c r="AP5" s="155">
        <f>+(5.5*(N5))*(10^-(0.96+0.9*4.5-0.039*((4.5)^2)))/((10^-(0.96+0.9*4.5-0.039*((4.5)^2)))+(10^-4.5))</f>
        <v>8.0817139898922772</v>
      </c>
      <c r="AQ5" s="209"/>
      <c r="AR5" s="210">
        <f>(10^-H5)*1000000</f>
        <v>0.1659586907437556</v>
      </c>
      <c r="AS5" s="211">
        <f>(Q5/40.078*1000)*2</f>
        <v>225.99481012026547</v>
      </c>
      <c r="AT5" s="211">
        <f>(R5/24.312*1000)*2</f>
        <v>63.006581112207954</v>
      </c>
      <c r="AU5" s="211">
        <f>(S5/22.99*1000)</f>
        <v>160.77163984341018</v>
      </c>
      <c r="AV5" s="212">
        <f>(T5/39.102*1000)</f>
        <v>0</v>
      </c>
      <c r="AW5" s="211">
        <f>(X5/96.064*1000)*2</f>
        <v>95.274303450470228</v>
      </c>
      <c r="AX5" s="212">
        <f>(Y5/62.0067*1000)</f>
        <v>10.48281447410357</v>
      </c>
      <c r="AY5" s="211">
        <f>(Z5/35.453*1000)</f>
        <v>217.88788894383362</v>
      </c>
      <c r="AZ5" s="210">
        <f>(AA5/18.998)*1000</f>
        <v>5.2346243789050417</v>
      </c>
      <c r="BA5" s="210">
        <f>+AD5/30.97*3</f>
        <v>3.5841136583790769</v>
      </c>
      <c r="BB5" s="211">
        <f>IF(H5&lt;5.5,0,I5-31.62+AR5)</f>
        <v>229.5822572354603</v>
      </c>
      <c r="BC5" s="213"/>
      <c r="BD5" s="211">
        <f>SUM(AR5:AV5)-SUM(AW5:BB5)</f>
        <v>-112.1070123745244</v>
      </c>
      <c r="BE5" s="156">
        <f>BD5/SUM(AR5:BB5)*100</f>
        <v>-11.077932308381563</v>
      </c>
      <c r="BF5" s="214">
        <f>0.5*(SUM(AR5:AV5)+SUM(AW5:AZ5))*0.000001</f>
        <v>3.8940931050696997E-4</v>
      </c>
    </row>
    <row r="6" spans="1:88" s="196" customFormat="1" ht="15.75" customHeight="1" x14ac:dyDescent="0.2">
      <c r="B6" s="45">
        <v>6</v>
      </c>
      <c r="C6" s="152" t="s">
        <v>103</v>
      </c>
      <c r="D6" s="152" t="s">
        <v>0</v>
      </c>
      <c r="E6" s="216">
        <v>42297.5</v>
      </c>
      <c r="F6" s="153">
        <v>1000</v>
      </c>
      <c r="G6" s="152">
        <v>0</v>
      </c>
      <c r="H6" s="152">
        <v>7.02</v>
      </c>
      <c r="I6" s="152">
        <v>240</v>
      </c>
      <c r="J6" s="152">
        <v>45.2</v>
      </c>
      <c r="K6" s="198">
        <v>20.100000000000001</v>
      </c>
      <c r="L6" s="224">
        <v>0.189</v>
      </c>
      <c r="M6" s="224">
        <v>1.9E-2</v>
      </c>
      <c r="N6" s="217">
        <v>5.6130000000000004</v>
      </c>
      <c r="O6" s="204">
        <f>L6/N6</f>
        <v>3.3671833244254407E-2</v>
      </c>
      <c r="P6" s="204">
        <f>L6/M6</f>
        <v>9.9473684210526319</v>
      </c>
      <c r="Q6" s="202">
        <v>4.0990000000000002</v>
      </c>
      <c r="R6" s="202">
        <v>0.79490000000000005</v>
      </c>
      <c r="S6" s="202">
        <v>2.9430000000000001</v>
      </c>
      <c r="T6" s="202">
        <v>0.58830000000000005</v>
      </c>
      <c r="U6" s="202">
        <v>3.0800593031875461</v>
      </c>
      <c r="V6" s="309">
        <v>1.0243553008595989</v>
      </c>
      <c r="W6" s="202">
        <v>0.24043715846994534</v>
      </c>
      <c r="X6" s="309">
        <v>3.3664918691879295</v>
      </c>
      <c r="Y6" s="309">
        <v>0.56276191790689167</v>
      </c>
      <c r="Z6" s="309">
        <v>4.3779087201522646</v>
      </c>
      <c r="AA6" s="309"/>
      <c r="AB6" s="309"/>
      <c r="AC6" s="152">
        <v>22</v>
      </c>
      <c r="AD6" s="152">
        <v>14</v>
      </c>
      <c r="AE6" s="152">
        <v>2</v>
      </c>
      <c r="AF6" s="154">
        <v>3.42</v>
      </c>
      <c r="AG6" s="207">
        <f>10^-AF6</f>
        <v>3.8018939632056113E-4</v>
      </c>
      <c r="AH6" s="207">
        <v>3.1622776601683798E-2</v>
      </c>
      <c r="AI6" s="207">
        <f>+AG6*AH6</f>
        <v>1.2022644346174128E-5</v>
      </c>
      <c r="AJ6" s="207">
        <v>5.0118723362727197E-7</v>
      </c>
      <c r="AK6" s="207">
        <f>+((AJ6/(10^(-H6)))*AI6)*1000000</f>
        <v>63.095734448019307</v>
      </c>
      <c r="AL6" s="207">
        <v>5.6234132519034893E-11</v>
      </c>
      <c r="AM6" s="207">
        <f>+(((AJ6*AL6)/(10^(-H6)))*AI6)*1000000</f>
        <v>3.5481338923357525E-9</v>
      </c>
      <c r="AN6" s="208">
        <f>+AK6+2*AM6</f>
        <v>63.095734455115576</v>
      </c>
      <c r="AO6" s="155">
        <f>+(5.5*(N6))*(10^-(0.96+0.9*H6-0.039*((H6)^2)))/((10^-(0.96+0.9*H6-0.039*((H6)^2)))+(10^-H6))</f>
        <v>30.216400706392562</v>
      </c>
      <c r="AP6" s="155">
        <f>+(5.5*(N6))*(10^-(0.96+0.9*4.5-0.039*((4.5)^2)))/((10^-(0.96+0.9*4.5-0.039*((4.5)^2)))+(10^-4.5))</f>
        <v>20.242151104536077</v>
      </c>
      <c r="AQ6" s="209"/>
      <c r="AR6" s="210">
        <f>(10^-H6)*1000000</f>
        <v>9.5499258602143561E-2</v>
      </c>
      <c r="AS6" s="211">
        <f>(Q6/40.078*1000)*2</f>
        <v>204.55112530565398</v>
      </c>
      <c r="AT6" s="211">
        <f>(R6/24.312*1000)*2</f>
        <v>65.391576176373817</v>
      </c>
      <c r="AU6" s="211">
        <f>(S6/22.99*1000)</f>
        <v>128.01217920835148</v>
      </c>
      <c r="AV6" s="212">
        <f>(T6/39.102*1000)</f>
        <v>15.045266226791471</v>
      </c>
      <c r="AW6" s="211">
        <f>(X6/96.064*1000)*2</f>
        <v>70.088521593686067</v>
      </c>
      <c r="AX6" s="212">
        <f>(Y6/62.0067*1000)</f>
        <v>9.0758243529633358</v>
      </c>
      <c r="AY6" s="211">
        <f>(Z6/35.453*1000)</f>
        <v>123.48485939560162</v>
      </c>
      <c r="AZ6" s="210">
        <f>(AA6/18.998)*1000</f>
        <v>0</v>
      </c>
      <c r="BA6" s="210">
        <f>+AD6/30.97*3</f>
        <v>1.3561511139812723</v>
      </c>
      <c r="BB6" s="211">
        <f>IF(H6&lt;5.5,0,I6-31.62+AR6)</f>
        <v>208.47549925860213</v>
      </c>
      <c r="BC6" s="213"/>
      <c r="BD6" s="211">
        <f>SUM(AR6:AV6)-SUM(AW6:BB6)</f>
        <v>0.61479046093842271</v>
      </c>
      <c r="BE6" s="156">
        <f>BD6/SUM(AR6:BB6)*100</f>
        <v>7.4468018352087911E-2</v>
      </c>
      <c r="BF6" s="214">
        <f>0.5*(SUM(AR6:AV6)+SUM(AW6:AZ6))*0.000001</f>
        <v>3.0787242575901192E-4</v>
      </c>
    </row>
    <row r="7" spans="1:88" s="196" customFormat="1" ht="12.75" x14ac:dyDescent="0.2">
      <c r="A7" s="277"/>
      <c r="B7" s="278">
        <v>3</v>
      </c>
      <c r="C7" s="279" t="s">
        <v>103</v>
      </c>
      <c r="D7" s="280" t="s">
        <v>0</v>
      </c>
      <c r="E7" s="281">
        <v>42674.604861111111</v>
      </c>
      <c r="F7" s="282">
        <v>1000</v>
      </c>
      <c r="G7" s="288"/>
      <c r="H7" s="283">
        <v>7.37</v>
      </c>
      <c r="I7" s="282">
        <v>214</v>
      </c>
      <c r="J7" s="303">
        <v>54.3</v>
      </c>
      <c r="K7" s="284">
        <v>22.2</v>
      </c>
      <c r="L7" s="286">
        <v>0.17</v>
      </c>
      <c r="M7" s="286">
        <v>2.4E-2</v>
      </c>
      <c r="N7" s="283">
        <v>4.13</v>
      </c>
      <c r="O7" s="287">
        <f>L7/N7</f>
        <v>4.1162227602905575E-2</v>
      </c>
      <c r="P7" s="287">
        <f>L7/M7</f>
        <v>7.0833333333333339</v>
      </c>
      <c r="Q7" s="310">
        <v>3.6379999999999999</v>
      </c>
      <c r="R7" s="310">
        <v>0.94399999999999995</v>
      </c>
      <c r="S7" s="310">
        <v>3.1179999999999999</v>
      </c>
      <c r="T7" s="310">
        <v>0.59299999999999997</v>
      </c>
      <c r="U7" s="310"/>
      <c r="V7" s="310"/>
      <c r="W7" s="310">
        <v>13</v>
      </c>
      <c r="X7" s="300">
        <v>3.4155000000000002</v>
      </c>
      <c r="Y7" s="300">
        <v>0.63519999999999999</v>
      </c>
      <c r="Z7" s="302">
        <v>5.9210000000000003</v>
      </c>
      <c r="AA7" s="311">
        <v>5.79E-2</v>
      </c>
      <c r="AB7" s="312"/>
      <c r="AC7" s="285">
        <v>8</v>
      </c>
      <c r="AD7" s="285">
        <v>8</v>
      </c>
      <c r="AE7" s="289">
        <f>AC7-AD7</f>
        <v>0</v>
      </c>
      <c r="AF7" s="290">
        <v>3.42</v>
      </c>
      <c r="AG7" s="291">
        <f>10^-AF7</f>
        <v>3.8018939632056113E-4</v>
      </c>
      <c r="AH7" s="291">
        <v>3.1622776601683798E-2</v>
      </c>
      <c r="AI7" s="291">
        <f>+AG7*AH7</f>
        <v>1.2022644346174128E-5</v>
      </c>
      <c r="AJ7" s="291">
        <v>5.0118723362727197E-7</v>
      </c>
      <c r="AK7" s="291">
        <f>+((AJ7/(10^(-H7)))*AI7)*1000000</f>
        <v>141.2537544622754</v>
      </c>
      <c r="AL7" s="291">
        <v>5.6234132519034893E-11</v>
      </c>
      <c r="AM7" s="291">
        <f>+(((AJ7*AL7)/(10^(-H7)))*AI7)*1000000</f>
        <v>7.943282347242812E-9</v>
      </c>
      <c r="AN7" s="292">
        <f>+AK7+2*AM7</f>
        <v>141.25375447816197</v>
      </c>
      <c r="AO7" s="293">
        <f>+(5.5*(N7))*(10^-(0.96+0.9*H7-0.039*((H7)^2)))/((10^-(0.96+0.9*H7-0.039*((H7)^2)))+(10^-H7))</f>
        <v>22.429594510343193</v>
      </c>
      <c r="AP7" s="293">
        <f>+(5.5*(N7))*(10^-(0.96+0.9*4.5-0.039*((4.5)^2)))/((10^-(0.96+0.9*4.5-0.039*((4.5)^2)))+(10^-4.5))</f>
        <v>14.894011056784963</v>
      </c>
      <c r="AQ7" s="294"/>
      <c r="AR7" s="295">
        <f>(10^-H7)*1000000</f>
        <v>4.2657951880159237E-2</v>
      </c>
      <c r="AS7" s="296">
        <f>(Q7/40.078*1000)*2</f>
        <v>181.54598532860919</v>
      </c>
      <c r="AT7" s="296">
        <f>(R7/24.312*1000)*2</f>
        <v>77.65712405396512</v>
      </c>
      <c r="AU7" s="296">
        <f>(S7/22.99*1000)</f>
        <v>135.6241844280122</v>
      </c>
      <c r="AV7" s="297">
        <f>(T7/39.102*1000)</f>
        <v>15.165464682113447</v>
      </c>
      <c r="AW7" s="296">
        <f>(X7/96.064*1000)*2</f>
        <v>71.108844103930721</v>
      </c>
      <c r="AX7" s="297">
        <f>(Y7/62.0067*1000)</f>
        <v>10.244054271554525</v>
      </c>
      <c r="AY7" s="296">
        <f>(Z7/35.453*1000)</f>
        <v>167.00984401884185</v>
      </c>
      <c r="AZ7" s="295">
        <f>(AA7/18.998)*1000</f>
        <v>3.0476892304453096</v>
      </c>
      <c r="BA7" s="295">
        <f>+AD7/30.97*3</f>
        <v>0.77494349370358417</v>
      </c>
      <c r="BB7" s="296">
        <f>IF(H7&lt;5.5,0,I7-31.62+AR7)</f>
        <v>182.42265795188015</v>
      </c>
      <c r="BC7" s="298"/>
      <c r="BD7" s="296">
        <f>SUM(AR7:AV7)-SUM(AW7:BB7)</f>
        <v>-24.572616625775993</v>
      </c>
      <c r="BE7" s="296">
        <f>BD7/SUM(AR7:BB7)*100</f>
        <v>-2.9092295263625867</v>
      </c>
      <c r="BF7" s="299">
        <f>0.5*(SUM(AR7:AV7)+SUM(AW7:AZ7))*0.000001</f>
        <v>3.3072292403467623E-4</v>
      </c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</row>
    <row r="8" spans="1:88" s="196" customFormat="1" ht="12.75" x14ac:dyDescent="0.2">
      <c r="A8" s="277"/>
      <c r="B8" s="278"/>
      <c r="C8" s="279"/>
      <c r="D8" s="280"/>
      <c r="E8" s="281"/>
      <c r="F8" s="282"/>
      <c r="G8" s="288"/>
      <c r="H8" s="283"/>
      <c r="I8" s="282"/>
      <c r="J8" s="284"/>
      <c r="K8" s="284"/>
      <c r="L8" s="286"/>
      <c r="M8" s="286"/>
      <c r="N8" s="283"/>
      <c r="O8" s="287"/>
      <c r="P8" s="287"/>
      <c r="Q8" s="310"/>
      <c r="R8" s="310"/>
      <c r="S8" s="310"/>
      <c r="T8" s="310"/>
      <c r="U8" s="310"/>
      <c r="V8" s="310"/>
      <c r="W8" s="310"/>
      <c r="X8" s="300"/>
      <c r="Y8" s="300"/>
      <c r="Z8" s="302"/>
      <c r="AA8" s="311"/>
      <c r="AB8" s="312"/>
      <c r="AC8" s="285"/>
      <c r="AD8" s="285"/>
      <c r="AE8" s="289"/>
      <c r="AF8" s="290"/>
      <c r="AG8" s="291"/>
      <c r="AH8" s="291"/>
      <c r="AI8" s="291"/>
      <c r="AJ8" s="291"/>
      <c r="AK8" s="291"/>
      <c r="AL8" s="291"/>
      <c r="AM8" s="291"/>
      <c r="AN8" s="292"/>
      <c r="AO8" s="293"/>
      <c r="AP8" s="293"/>
      <c r="AQ8" s="294"/>
      <c r="AR8" s="295"/>
      <c r="AS8" s="296"/>
      <c r="AT8" s="296"/>
      <c r="AU8" s="296"/>
      <c r="AV8" s="297"/>
      <c r="AW8" s="296"/>
      <c r="AX8" s="297"/>
      <c r="AY8" s="296"/>
      <c r="AZ8" s="295"/>
      <c r="BA8" s="295"/>
      <c r="BB8" s="296"/>
      <c r="BC8" s="298"/>
      <c r="BD8" s="296"/>
      <c r="BE8" s="296"/>
      <c r="BF8" s="299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</row>
    <row r="9" spans="1:88" s="196" customFormat="1" ht="12.75" x14ac:dyDescent="0.2">
      <c r="B9" s="45">
        <v>5</v>
      </c>
      <c r="C9" s="152" t="s">
        <v>105</v>
      </c>
      <c r="D9" s="152" t="s">
        <v>22</v>
      </c>
      <c r="E9" s="197" t="s">
        <v>155</v>
      </c>
      <c r="F9" s="153">
        <v>1000</v>
      </c>
      <c r="G9" s="198"/>
      <c r="H9" s="199">
        <v>7.45</v>
      </c>
      <c r="I9" s="200">
        <v>742.28915662650593</v>
      </c>
      <c r="J9" s="221">
        <v>198.8</v>
      </c>
      <c r="K9" s="202">
        <v>18.3</v>
      </c>
      <c r="L9" s="157">
        <v>0.38</v>
      </c>
      <c r="M9" s="157">
        <v>2.3E-2</v>
      </c>
      <c r="N9" s="203">
        <v>6.9669999999999996</v>
      </c>
      <c r="O9" s="204">
        <f>L9/N9</f>
        <v>5.4542844839959817E-2</v>
      </c>
      <c r="P9" s="204">
        <f>L9/M9</f>
        <v>16.521739130434781</v>
      </c>
      <c r="Q9" s="305">
        <v>23.281723673743723</v>
      </c>
      <c r="R9" s="305">
        <v>3.573648037549602</v>
      </c>
      <c r="S9" s="305">
        <v>19.613084174847604</v>
      </c>
      <c r="T9" s="305">
        <v>3.0335469301519034</v>
      </c>
      <c r="U9" s="202">
        <v>3.3947368421052633</v>
      </c>
      <c r="V9" s="306">
        <v>2.7800161160354553</v>
      </c>
      <c r="W9" s="202">
        <v>0.20459426990425569</v>
      </c>
      <c r="X9" s="306">
        <v>17.810515953086842</v>
      </c>
      <c r="Y9" s="306">
        <v>4.2459928587512525</v>
      </c>
      <c r="Z9" s="307">
        <v>31.254758924958139</v>
      </c>
      <c r="AA9" s="306">
        <v>0.15062531946865676</v>
      </c>
      <c r="AB9" s="306"/>
      <c r="AC9" s="222">
        <v>4.82</v>
      </c>
      <c r="AD9" s="222">
        <v>1.4278613834046656</v>
      </c>
      <c r="AE9" s="206">
        <f>AC9-AD9</f>
        <v>3.3921386165953349</v>
      </c>
      <c r="AF9" s="154">
        <v>3.42</v>
      </c>
      <c r="AG9" s="207">
        <f>10^-AF9</f>
        <v>3.8018939632056113E-4</v>
      </c>
      <c r="AH9" s="207">
        <v>3.1622776601683798E-2</v>
      </c>
      <c r="AI9" s="207">
        <f>+AG9*AH9</f>
        <v>1.2022644346174128E-5</v>
      </c>
      <c r="AJ9" s="207">
        <v>5.0118723362727197E-7</v>
      </c>
      <c r="AK9" s="207">
        <f>+((AJ9/(10^(-H9)))*AI9)*1000000</f>
        <v>169.82436524617489</v>
      </c>
      <c r="AL9" s="207">
        <v>5.6234132519034893E-11</v>
      </c>
      <c r="AM9" s="207">
        <f>+(((AJ9*AL9)/(10^(-H9)))*AI9)*1000000</f>
        <v>9.5499258602143817E-9</v>
      </c>
      <c r="AN9" s="208">
        <f>+AK9+2*AM9</f>
        <v>169.82436526527474</v>
      </c>
      <c r="AO9" s="155">
        <f>+(5.5*(N9))*(10^-(0.96+0.9*H9-0.039*((H9)^2)))/((10^-(0.96+0.9*H9-0.039*((H9)^2)))+(10^-H9))</f>
        <v>37.892939998085922</v>
      </c>
      <c r="AP9" s="155">
        <f>+(5.5*(N9))*(10^-(0.96+0.9*4.5-0.039*((4.5)^2)))/((10^-(0.96+0.9*4.5-0.039*((4.5)^2)))+(10^-4.5))</f>
        <v>25.125078700392457</v>
      </c>
      <c r="AQ9" s="209"/>
      <c r="AR9" s="210">
        <f>(10^-H9)*1000000</f>
        <v>3.5481338923357426E-2</v>
      </c>
      <c r="AS9" s="211">
        <f>(Q9/40.078*1000)*2</f>
        <v>1161.8206334519548</v>
      </c>
      <c r="AT9" s="211">
        <f>(R9/24.312*1000)*2</f>
        <v>293.9822340860153</v>
      </c>
      <c r="AU9" s="211">
        <f>(S9/22.99*1000)</f>
        <v>853.1137092147718</v>
      </c>
      <c r="AV9" s="212">
        <f>(T9/39.102*1000)</f>
        <v>77.580352159784766</v>
      </c>
      <c r="AW9" s="211">
        <f>(X9/96.064*1000)*2</f>
        <v>370.80521221449959</v>
      </c>
      <c r="AX9" s="212">
        <f>(Y9/62.0067*1000)</f>
        <v>68.476355922041535</v>
      </c>
      <c r="AY9" s="211">
        <f>(Z9/35.453*1000)</f>
        <v>881.5829104718398</v>
      </c>
      <c r="AZ9" s="210">
        <f>(AA9/18.998)*1000</f>
        <v>7.9284829702419604</v>
      </c>
      <c r="BA9" s="210">
        <f>+AD9/30.97*3</f>
        <v>0.13831398612250556</v>
      </c>
      <c r="BB9" s="211">
        <f>IF(H9&lt;5.5,0,I9-31.62+AR9)</f>
        <v>710.70463796542924</v>
      </c>
      <c r="BC9" s="213"/>
      <c r="BD9" s="211">
        <f>SUM(AR9:AV9)-SUM(AW9:BB9)</f>
        <v>346.89649672127553</v>
      </c>
      <c r="BE9" s="156">
        <f>BD9/SUM(AR9:BB9)*100</f>
        <v>7.8373995597369088</v>
      </c>
      <c r="BF9" s="214">
        <f>0.5*(SUM(AR9:AV9)+SUM(AW9:AZ9))*0.000001</f>
        <v>1.8576626859150363E-3</v>
      </c>
    </row>
    <row r="10" spans="1:88" s="196" customFormat="1" ht="15.75" customHeight="1" x14ac:dyDescent="0.2">
      <c r="B10" s="45">
        <v>6</v>
      </c>
      <c r="C10" s="152" t="s">
        <v>105</v>
      </c>
      <c r="D10" s="152" t="s">
        <v>22</v>
      </c>
      <c r="E10" s="197" t="s">
        <v>162</v>
      </c>
      <c r="F10" s="153">
        <v>2000</v>
      </c>
      <c r="G10" s="157">
        <v>1.6285714285713921</v>
      </c>
      <c r="H10" s="199">
        <v>7.52</v>
      </c>
      <c r="I10" s="200">
        <v>865.64042570167499</v>
      </c>
      <c r="J10" s="201">
        <v>198.3</v>
      </c>
      <c r="K10" s="202">
        <v>22.5</v>
      </c>
      <c r="L10" s="215">
        <v>0.192</v>
      </c>
      <c r="M10" s="157">
        <v>1.7000000000000001E-2</v>
      </c>
      <c r="N10" s="204">
        <v>4.7930000000000001</v>
      </c>
      <c r="O10" s="204">
        <f>L10/N10</f>
        <v>4.0058418527018566E-2</v>
      </c>
      <c r="P10" s="204">
        <f>L10/M10</f>
        <v>11.294117647058822</v>
      </c>
      <c r="Q10" s="202">
        <v>18.091999999999999</v>
      </c>
      <c r="R10" s="202">
        <v>2.8195100000000002</v>
      </c>
      <c r="S10" s="202">
        <v>18.245999999999999</v>
      </c>
      <c r="T10" s="202">
        <v>1.73377</v>
      </c>
      <c r="U10" s="308">
        <v>0</v>
      </c>
      <c r="V10" s="308">
        <v>0</v>
      </c>
      <c r="W10" s="308">
        <v>0</v>
      </c>
      <c r="X10" s="309">
        <f>1.96422459850086*10</f>
        <v>19.6422459850086</v>
      </c>
      <c r="Y10" s="309">
        <v>3.3724362312077112</v>
      </c>
      <c r="Z10" s="309">
        <v>33.5144841784292</v>
      </c>
      <c r="AA10" s="309">
        <v>0.17948809487821113</v>
      </c>
      <c r="AB10" s="309">
        <v>0.42962102958560905</v>
      </c>
      <c r="AC10" s="196">
        <v>43</v>
      </c>
      <c r="AD10" s="196">
        <v>33</v>
      </c>
      <c r="AE10" s="196">
        <v>4</v>
      </c>
      <c r="AF10" s="154">
        <v>3.42</v>
      </c>
      <c r="AG10" s="207">
        <f>10^-AF10</f>
        <v>3.8018939632056113E-4</v>
      </c>
      <c r="AH10" s="207">
        <v>3.1622776601683798E-2</v>
      </c>
      <c r="AI10" s="207">
        <f>+AG10*AH10</f>
        <v>1.2022644346174128E-5</v>
      </c>
      <c r="AJ10" s="207">
        <v>5.0118723362727197E-7</v>
      </c>
      <c r="AK10" s="207">
        <f>+((AJ10/(10^(-H10)))*AI10)*1000000</f>
        <v>199.52623149688765</v>
      </c>
      <c r="AL10" s="207">
        <v>5.6234132519034893E-11</v>
      </c>
      <c r="AM10" s="207">
        <f>+(((AJ10*AL10)/(10^(-H10)))*AI10)*1000000</f>
        <v>1.1220184543019612E-8</v>
      </c>
      <c r="AN10" s="208">
        <f>+AK10+2*AM10</f>
        <v>199.52623151932801</v>
      </c>
      <c r="AO10" s="155">
        <f>+(5.5*(N10))*(10^-(0.96+0.9*H10-0.039*((H10)^2)))/((10^-(0.96+0.9*H10-0.039*((H10)^2)))+(10^-H10))</f>
        <v>26.098982669698081</v>
      </c>
      <c r="AP10" s="155">
        <f>+(5.5*(N10))*(10^-(0.96+0.9*4.5-0.039*((4.5)^2)))/((10^-(0.96+0.9*4.5-0.039*((4.5)^2)))+(10^-4.5))</f>
        <v>17.284986681639303</v>
      </c>
      <c r="AQ10" s="209"/>
      <c r="AR10" s="210">
        <f>(10^-H10)*1000000</f>
        <v>3.0199517204020188E-2</v>
      </c>
      <c r="AS10" s="211">
        <f>(Q10/40.078*1000)*2</f>
        <v>902.83946304705808</v>
      </c>
      <c r="AT10" s="211">
        <f>(R10/24.312*1000)*2</f>
        <v>231.94389601842713</v>
      </c>
      <c r="AU10" s="211">
        <f>(S10/22.99*1000)</f>
        <v>793.64941278816877</v>
      </c>
      <c r="AV10" s="212">
        <f>(T10/39.102*1000)</f>
        <v>44.33967571991203</v>
      </c>
      <c r="AW10" s="211">
        <f>(X10/96.064*1000)*2</f>
        <v>408.94083080047886</v>
      </c>
      <c r="AX10" s="212">
        <f>(Y10/62.0067*1000)</f>
        <v>54.388255320920337</v>
      </c>
      <c r="AY10" s="211">
        <f>(Z10/35.453*1000)</f>
        <v>945.32152930440861</v>
      </c>
      <c r="AZ10" s="210">
        <f>(AA10/18.998)*1000</f>
        <v>9.4477363342568239</v>
      </c>
      <c r="BA10" s="210">
        <f>+AD10/30.97*3</f>
        <v>3.1966419115272844</v>
      </c>
      <c r="BB10" s="211">
        <f>IF(H10&lt;5.5,0,I10-31.62+AR10)</f>
        <v>834.05062521887896</v>
      </c>
      <c r="BC10" s="213"/>
      <c r="BD10" s="211">
        <f>SUM(AR10:AV10)-SUM(AW10:BB10)</f>
        <v>-282.54297179970058</v>
      </c>
      <c r="BE10" s="156">
        <f>BD10/SUM(AR10:BB10)*100</f>
        <v>-6.6824281937551646</v>
      </c>
      <c r="BF10" s="214">
        <f>0.5*(SUM(AR10:AV10)+SUM(AW10:AZ10))*0.000001</f>
        <v>1.6954504994254173E-3</v>
      </c>
    </row>
    <row r="11" spans="1:88" s="196" customFormat="1" ht="15.75" customHeight="1" x14ac:dyDescent="0.2">
      <c r="B11" s="45">
        <v>8</v>
      </c>
      <c r="C11" s="152" t="s">
        <v>105</v>
      </c>
      <c r="D11" s="152" t="s">
        <v>22</v>
      </c>
      <c r="E11" s="216">
        <v>42299.5</v>
      </c>
      <c r="F11" s="153">
        <v>1000</v>
      </c>
      <c r="G11" s="152">
        <v>0.22</v>
      </c>
      <c r="H11" s="152">
        <v>7.27</v>
      </c>
      <c r="I11" s="152">
        <v>810</v>
      </c>
      <c r="J11" s="152">
        <v>200</v>
      </c>
      <c r="K11" s="198">
        <v>20.100000000000001</v>
      </c>
      <c r="L11" s="224">
        <v>0.30299999999999999</v>
      </c>
      <c r="M11" s="224">
        <v>3.1E-2</v>
      </c>
      <c r="N11" s="217">
        <v>8.9909999999999997</v>
      </c>
      <c r="O11" s="204">
        <f>L11/N11</f>
        <v>3.3700367033700371E-2</v>
      </c>
      <c r="P11" s="204">
        <f>L11/M11</f>
        <v>9.7741935483870961</v>
      </c>
      <c r="Q11" s="202">
        <v>16.308</v>
      </c>
      <c r="R11" s="202">
        <v>2.645</v>
      </c>
      <c r="S11" s="202">
        <v>12.977</v>
      </c>
      <c r="T11" s="202">
        <v>2.3690000000000002</v>
      </c>
      <c r="U11" s="202">
        <v>2.6130467012601928</v>
      </c>
      <c r="V11" s="309">
        <v>2.1292979942693409</v>
      </c>
      <c r="W11" s="202">
        <v>0.40437158469945356</v>
      </c>
      <c r="X11" s="309">
        <v>15.875791872889685</v>
      </c>
      <c r="Y11" s="309">
        <v>3.8433445696216002</v>
      </c>
      <c r="Z11" s="309">
        <v>23.736438656415679</v>
      </c>
      <c r="AA11" s="309"/>
      <c r="AB11" s="309"/>
      <c r="AC11" s="152">
        <v>22</v>
      </c>
      <c r="AD11" s="152">
        <v>16</v>
      </c>
      <c r="AE11" s="152">
        <v>6</v>
      </c>
      <c r="AF11" s="154">
        <v>3.42</v>
      </c>
      <c r="AG11" s="207">
        <f>10^-AF11</f>
        <v>3.8018939632056113E-4</v>
      </c>
      <c r="AH11" s="207">
        <v>3.1622776601683798E-2</v>
      </c>
      <c r="AI11" s="207">
        <f>+AG11*AH11</f>
        <v>1.2022644346174128E-5</v>
      </c>
      <c r="AJ11" s="207">
        <v>5.0118723362727197E-7</v>
      </c>
      <c r="AK11" s="207">
        <f>+((AJ11/(10^(-H11)))*AI11)*1000000</f>
        <v>112.20184543019644</v>
      </c>
      <c r="AL11" s="207">
        <v>5.6234132519034893E-11</v>
      </c>
      <c r="AM11" s="207">
        <f>+(((AJ11*AL11)/(10^(-H11)))*AI11)*1000000</f>
        <v>6.3095734448019354E-9</v>
      </c>
      <c r="AN11" s="208">
        <f>+AK11+2*AM11</f>
        <v>112.2018454428156</v>
      </c>
      <c r="AO11" s="155">
        <f>+(5.5*(N11))*(10^-(0.96+0.9*H11-0.039*((H11)^2)))/((10^-(0.96+0.9*H11-0.039*((H11)^2)))+(10^-H11))</f>
        <v>48.72688830343531</v>
      </c>
      <c r="AP11" s="155">
        <f>+(5.5*(N11))*(10^-(0.96+0.9*4.5-0.039*((4.5)^2)))/((10^-(0.96+0.9*4.5-0.039*((4.5)^2)))+(10^-4.5))</f>
        <v>32.424226007640101</v>
      </c>
      <c r="AQ11" s="209"/>
      <c r="AR11" s="210">
        <f>(10^-H11)*1000000</f>
        <v>5.3703179637025193E-2</v>
      </c>
      <c r="AS11" s="211">
        <f>(Q11/40.078*1000)*2</f>
        <v>813.81306452417778</v>
      </c>
      <c r="AT11" s="211">
        <f>(R11/24.312*1000)*2</f>
        <v>217.58802237578152</v>
      </c>
      <c r="AU11" s="211">
        <f>(S11/22.99*1000)</f>
        <v>564.46280991735546</v>
      </c>
      <c r="AV11" s="212">
        <f>(T11/39.102*1000)</f>
        <v>60.585136310163172</v>
      </c>
      <c r="AW11" s="211">
        <f>(X11/96.064*1000)*2</f>
        <v>330.52531380932891</v>
      </c>
      <c r="AX11" s="212">
        <f>(Y11/62.0067*1000)</f>
        <v>61.982730408513916</v>
      </c>
      <c r="AY11" s="211">
        <f>(Z11/35.453*1000)</f>
        <v>669.51847957621862</v>
      </c>
      <c r="AZ11" s="210">
        <f>(AA11/18.998)*1000</f>
        <v>0</v>
      </c>
      <c r="BA11" s="210">
        <f>+AD11/30.97*3</f>
        <v>1.5498869874071683</v>
      </c>
      <c r="BB11" s="211">
        <f>IF(H11&lt;5.5,0,I11-31.62+AR11)</f>
        <v>778.43370317963706</v>
      </c>
      <c r="BC11" s="213"/>
      <c r="BD11" s="211">
        <f>SUM(AR11:AV11)-SUM(AW11:BB11)</f>
        <v>-185.50737765399049</v>
      </c>
      <c r="BE11" s="156">
        <f>BD11/SUM(AR11:BB11)*100</f>
        <v>-5.3024638065790768</v>
      </c>
      <c r="BF11" s="214">
        <f>0.5*(SUM(AR11:AV11)+SUM(AW11:AZ11))*0.000001</f>
        <v>1.3592646300505883E-3</v>
      </c>
    </row>
    <row r="12" spans="1:88" s="196" customFormat="1" ht="12.75" x14ac:dyDescent="0.2">
      <c r="A12" s="277"/>
      <c r="B12" s="278">
        <v>8</v>
      </c>
      <c r="C12" s="279" t="s">
        <v>105</v>
      </c>
      <c r="D12" s="280" t="s">
        <v>22</v>
      </c>
      <c r="E12" s="281">
        <v>42674.561111111114</v>
      </c>
      <c r="F12" s="282">
        <v>1000</v>
      </c>
      <c r="G12" s="288"/>
      <c r="H12" s="283">
        <v>7.53</v>
      </c>
      <c r="I12" s="282">
        <v>937</v>
      </c>
      <c r="J12" s="303">
        <v>22.9</v>
      </c>
      <c r="K12" s="284">
        <v>22.1</v>
      </c>
      <c r="L12" s="286">
        <v>0.23100000000000001</v>
      </c>
      <c r="M12" s="286">
        <v>2.5999999999999999E-2</v>
      </c>
      <c r="N12" s="283">
        <v>12.46</v>
      </c>
      <c r="O12" s="287">
        <f>L12/N12</f>
        <v>1.853932584269663E-2</v>
      </c>
      <c r="P12" s="287">
        <f>L12/M12</f>
        <v>8.884615384615385</v>
      </c>
      <c r="Q12" s="310">
        <v>19.841000000000001</v>
      </c>
      <c r="R12" s="310">
        <v>2.8879999999999999</v>
      </c>
      <c r="S12" s="310">
        <v>14.811999999999999</v>
      </c>
      <c r="T12" s="310">
        <v>4.1109999999999998</v>
      </c>
      <c r="U12" s="313"/>
      <c r="V12" s="313"/>
      <c r="W12" s="310">
        <v>47</v>
      </c>
      <c r="X12" s="300">
        <v>18.7013</v>
      </c>
      <c r="Y12" s="300">
        <v>2.8694999999999999</v>
      </c>
      <c r="Z12" s="302">
        <v>31.408300000000001</v>
      </c>
      <c r="AA12" s="311">
        <v>0.89790000000000003</v>
      </c>
      <c r="AB12" s="312"/>
      <c r="AC12" s="285">
        <v>16</v>
      </c>
      <c r="AD12" s="285">
        <v>12</v>
      </c>
      <c r="AE12" s="289">
        <f>AC12-AD12</f>
        <v>4</v>
      </c>
      <c r="AF12" s="290">
        <v>3.42</v>
      </c>
      <c r="AG12" s="291">
        <f>10^-AF12</f>
        <v>3.8018939632056113E-4</v>
      </c>
      <c r="AH12" s="291">
        <v>3.1622776601683798E-2</v>
      </c>
      <c r="AI12" s="291">
        <f>+AG12*AH12</f>
        <v>1.2022644346174128E-5</v>
      </c>
      <c r="AJ12" s="291">
        <v>5.0118723362727197E-7</v>
      </c>
      <c r="AK12" s="291">
        <f>+((AJ12/(10^(-H12)))*AI12)*1000000</f>
        <v>204.1737944669533</v>
      </c>
      <c r="AL12" s="291">
        <v>5.6234132519034893E-11</v>
      </c>
      <c r="AM12" s="291">
        <f>+(((AJ12*AL12)/(10^(-H12)))*AI12)*1000000</f>
        <v>1.1481536214968847E-8</v>
      </c>
      <c r="AN12" s="292">
        <f>+AK12+2*AM12</f>
        <v>204.17379448991636</v>
      </c>
      <c r="AO12" s="293">
        <f>+(5.5*(N12))*(10^-(0.96+0.9*H12-0.039*((H12)^2)))/((10^-(0.96+0.9*H12-0.039*((H12)^2)))+(10^-H12))</f>
        <v>67.858158281140831</v>
      </c>
      <c r="AP12" s="293">
        <f>+(5.5*(N12))*(10^-(0.96+0.9*4.5-0.039*((4.5)^2)))/((10^-(0.96+0.9*4.5-0.039*((4.5)^2)))+(10^-4.5))</f>
        <v>44.934474035724129</v>
      </c>
      <c r="AQ12" s="294"/>
      <c r="AR12" s="295">
        <f>(10^-H12)*1000000</f>
        <v>2.9512092266663778E-2</v>
      </c>
      <c r="AS12" s="296">
        <f>(Q12/40.078*1000)*2</f>
        <v>990.11926742851438</v>
      </c>
      <c r="AT12" s="296">
        <f>(R12/24.312*1000)*2</f>
        <v>237.57815070746955</v>
      </c>
      <c r="AU12" s="296">
        <f>(S12/22.99*1000)</f>
        <v>644.28012179208349</v>
      </c>
      <c r="AV12" s="297">
        <f>(T12/39.102*1000)</f>
        <v>105.1352871975858</v>
      </c>
      <c r="AW12" s="296">
        <f>(X12/96.064*1000)*2</f>
        <v>389.35084943371089</v>
      </c>
      <c r="AX12" s="297">
        <f>(Y12/62.0067*1000)</f>
        <v>46.277257135116038</v>
      </c>
      <c r="AY12" s="296">
        <f>(Z12/35.453*1000)</f>
        <v>885.91374495811351</v>
      </c>
      <c r="AZ12" s="295">
        <f>(AA12/18.998)*1000</f>
        <v>47.262869775765864</v>
      </c>
      <c r="BA12" s="295">
        <f>+AD12/30.97*3</f>
        <v>1.1624152405553763</v>
      </c>
      <c r="BB12" s="296">
        <f>IF(H12&lt;5.5,0,I12-31.62+AR12)</f>
        <v>905.40951209226671</v>
      </c>
      <c r="BC12" s="298"/>
      <c r="BD12" s="296">
        <f>SUM(AR12:AV12)-SUM(AW12:BB12)</f>
        <v>-298.23430941760853</v>
      </c>
      <c r="BE12" s="296">
        <f>BD12/SUM(AR12:BB12)*100</f>
        <v>-7.0131211705217762</v>
      </c>
      <c r="BF12" s="299">
        <f>0.5*(SUM(AR12:AV12)+SUM(AW12:AZ12))*0.000001</f>
        <v>1.672973530260313E-3</v>
      </c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</row>
    <row r="13" spans="1:88" s="196" customFormat="1" ht="12.75" x14ac:dyDescent="0.2">
      <c r="A13" s="277"/>
      <c r="B13" s="278"/>
      <c r="C13" s="279"/>
      <c r="D13" s="280"/>
      <c r="E13" s="281"/>
      <c r="F13" s="282"/>
      <c r="G13" s="288"/>
      <c r="H13" s="283"/>
      <c r="I13" s="282"/>
      <c r="J13" s="284"/>
      <c r="K13" s="284"/>
      <c r="L13" s="286"/>
      <c r="M13" s="286"/>
      <c r="N13" s="283"/>
      <c r="O13" s="287"/>
      <c r="P13" s="287"/>
      <c r="Q13" s="310"/>
      <c r="R13" s="310"/>
      <c r="S13" s="310"/>
      <c r="T13" s="310"/>
      <c r="U13" s="313"/>
      <c r="V13" s="313"/>
      <c r="W13" s="310"/>
      <c r="X13" s="300"/>
      <c r="Y13" s="300"/>
      <c r="Z13" s="302"/>
      <c r="AA13" s="311"/>
      <c r="AB13" s="312"/>
      <c r="AC13" s="285"/>
      <c r="AD13" s="285"/>
      <c r="AE13" s="289"/>
      <c r="AF13" s="290"/>
      <c r="AG13" s="291"/>
      <c r="AH13" s="291"/>
      <c r="AI13" s="291"/>
      <c r="AJ13" s="291"/>
      <c r="AK13" s="291"/>
      <c r="AL13" s="291"/>
      <c r="AM13" s="291"/>
      <c r="AN13" s="292"/>
      <c r="AO13" s="293"/>
      <c r="AP13" s="293"/>
      <c r="AQ13" s="294"/>
      <c r="AR13" s="295"/>
      <c r="AS13" s="296"/>
      <c r="AT13" s="296"/>
      <c r="AU13" s="296"/>
      <c r="AV13" s="297"/>
      <c r="AW13" s="296"/>
      <c r="AX13" s="297"/>
      <c r="AY13" s="296"/>
      <c r="AZ13" s="295"/>
      <c r="BA13" s="295"/>
      <c r="BB13" s="296"/>
      <c r="BC13" s="298"/>
      <c r="BD13" s="296"/>
      <c r="BE13" s="296"/>
      <c r="BF13" s="299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277"/>
      <c r="CC13" s="277"/>
      <c r="CD13" s="277"/>
      <c r="CE13" s="277"/>
      <c r="CF13" s="277"/>
      <c r="CG13" s="277"/>
      <c r="CH13" s="277"/>
      <c r="CI13" s="277"/>
      <c r="CJ13" s="277"/>
    </row>
    <row r="14" spans="1:88" s="196" customFormat="1" ht="12.75" x14ac:dyDescent="0.2">
      <c r="B14" s="45">
        <v>3</v>
      </c>
      <c r="C14" s="152" t="s">
        <v>106</v>
      </c>
      <c r="D14" s="152" t="s">
        <v>22</v>
      </c>
      <c r="E14" s="216">
        <v>42294.5</v>
      </c>
      <c r="F14" s="153">
        <v>1000</v>
      </c>
      <c r="G14" s="152">
        <v>4.8600000000000003</v>
      </c>
      <c r="H14" s="152">
        <v>7.38</v>
      </c>
      <c r="I14" s="152">
        <v>1160</v>
      </c>
      <c r="J14" s="152">
        <v>236</v>
      </c>
      <c r="K14" s="198">
        <v>18.2</v>
      </c>
      <c r="L14" s="224">
        <v>0.153</v>
      </c>
      <c r="M14" s="224">
        <v>1.2E-2</v>
      </c>
      <c r="N14" s="217">
        <v>6.1820000000000004</v>
      </c>
      <c r="O14" s="204">
        <f>L14/N14</f>
        <v>2.4749272080232931E-2</v>
      </c>
      <c r="P14" s="204">
        <f>L14/M14</f>
        <v>12.75</v>
      </c>
      <c r="Q14" s="202">
        <v>20.957000000000001</v>
      </c>
      <c r="R14" s="202">
        <v>2.9049999999999998</v>
      </c>
      <c r="S14" s="202">
        <v>19.782</v>
      </c>
      <c r="T14" s="202">
        <v>3.0057999999999998</v>
      </c>
      <c r="U14" s="202">
        <v>1.4269829503335805</v>
      </c>
      <c r="V14" s="309">
        <v>0.56590257879656158</v>
      </c>
      <c r="W14" s="202">
        <v>0.19125683060109291</v>
      </c>
      <c r="X14" s="309">
        <v>19.538651920525687</v>
      </c>
      <c r="Y14" s="309">
        <v>0.15717644609130801</v>
      </c>
      <c r="Z14" s="309">
        <v>34.885272037876902</v>
      </c>
      <c r="AA14" s="309"/>
      <c r="AB14" s="309"/>
      <c r="AC14" s="152">
        <v>31</v>
      </c>
      <c r="AD14" s="152">
        <v>10</v>
      </c>
      <c r="AE14" s="152">
        <v>4</v>
      </c>
      <c r="AF14" s="154">
        <v>3.42</v>
      </c>
      <c r="AG14" s="207">
        <f>10^-AF14</f>
        <v>3.8018939632056113E-4</v>
      </c>
      <c r="AH14" s="207">
        <v>3.1622776601683798E-2</v>
      </c>
      <c r="AI14" s="207">
        <f>+AG14*AH14</f>
        <v>1.2022644346174128E-5</v>
      </c>
      <c r="AJ14" s="207">
        <v>5.0118723362727197E-7</v>
      </c>
      <c r="AK14" s="207">
        <f>+((AJ14/(10^(-H14)))*AI14)*1000000</f>
        <v>144.54397707459273</v>
      </c>
      <c r="AL14" s="207">
        <v>5.6234132519034893E-11</v>
      </c>
      <c r="AM14" s="207">
        <f>+(((AJ14*AL14)/(10^(-H14)))*AI14)*1000000</f>
        <v>8.1283051616409878E-9</v>
      </c>
      <c r="AN14" s="208">
        <f>+AK14+2*AM14</f>
        <v>144.54397709084935</v>
      </c>
      <c r="AO14" s="155">
        <f>+(5.5*(N14))*(10^-(0.96+0.9*H14-0.039*((H14)^2)))/((10^-(0.96+0.9*H14-0.039*((H14)^2)))+(10^-H14))</f>
        <v>33.580299560193197</v>
      </c>
      <c r="AP14" s="155">
        <f>+(5.5*(N14))*(10^-(0.96+0.9*4.5-0.039*((4.5)^2)))/((10^-(0.96+0.9*4.5-0.039*((4.5)^2)))+(10^-4.5))</f>
        <v>22.294134710180305</v>
      </c>
      <c r="AQ14" s="209"/>
      <c r="AR14" s="210">
        <f>(10^-H14)*1000000</f>
        <v>4.1686938347033513E-2</v>
      </c>
      <c r="AS14" s="211">
        <f>(Q14/40.078*1000)*2</f>
        <v>1045.8106691950695</v>
      </c>
      <c r="AT14" s="211">
        <f>(R14/24.312*1000)*2</f>
        <v>238.9766370516617</v>
      </c>
      <c r="AU14" s="211">
        <f>(S14/22.99*1000)</f>
        <v>860.46107003044801</v>
      </c>
      <c r="AV14" s="212">
        <f>(T14/39.102*1000)</f>
        <v>76.870748299319729</v>
      </c>
      <c r="AW14" s="211">
        <f>(X14/96.064*1000)*2</f>
        <v>406.78405897163742</v>
      </c>
      <c r="AX14" s="212">
        <f>(Y14/62.0067*1000)</f>
        <v>2.5348300440324674</v>
      </c>
      <c r="AY14" s="211">
        <f>(Z14/35.453*1000)</f>
        <v>983.98646201666702</v>
      </c>
      <c r="AZ14" s="210">
        <f>(AA14/18.998)*1000</f>
        <v>0</v>
      </c>
      <c r="BA14" s="210">
        <f>+AD14/30.97*3</f>
        <v>0.96867936712948011</v>
      </c>
      <c r="BB14" s="211">
        <f>IF(H14&lt;5.5,0,I14-31.62+AR14)</f>
        <v>1128.4216869383472</v>
      </c>
      <c r="BC14" s="213"/>
      <c r="BD14" s="211">
        <f>SUM(AR14:AV14)-SUM(AW14:BB14)</f>
        <v>-300.53490582296718</v>
      </c>
      <c r="BE14" s="156">
        <f>BD14/SUM(AR14:BB14)*100</f>
        <v>-6.3339092340403971</v>
      </c>
      <c r="BF14" s="214">
        <f>0.5*(SUM(AR14:AV14)+SUM(AW14:AZ14))*0.000001</f>
        <v>1.8077330812735913E-3</v>
      </c>
    </row>
    <row r="15" spans="1:88" s="196" customFormat="1" ht="12.75" x14ac:dyDescent="0.2">
      <c r="B15" s="45">
        <v>6</v>
      </c>
      <c r="C15" s="152" t="s">
        <v>106</v>
      </c>
      <c r="D15" s="152" t="s">
        <v>22</v>
      </c>
      <c r="E15" s="197" t="s">
        <v>156</v>
      </c>
      <c r="F15" s="153">
        <v>1000</v>
      </c>
      <c r="G15" s="198"/>
      <c r="H15" s="199">
        <v>7.4</v>
      </c>
      <c r="I15" s="200">
        <v>1074.1940625622635</v>
      </c>
      <c r="J15" s="221">
        <v>252</v>
      </c>
      <c r="K15" s="202">
        <v>20.6</v>
      </c>
      <c r="L15" s="157">
        <v>0.13700000000000001</v>
      </c>
      <c r="M15" s="157">
        <v>5.0000000000000001E-4</v>
      </c>
      <c r="N15" s="203">
        <v>5.3949999999999996</v>
      </c>
      <c r="O15" s="204">
        <f>L15/N15</f>
        <v>2.5393883225208531E-2</v>
      </c>
      <c r="P15" s="204">
        <f>L15/M15</f>
        <v>274</v>
      </c>
      <c r="Q15" s="305">
        <v>28.177924713367048</v>
      </c>
      <c r="R15" s="305">
        <v>3.7610949525191009</v>
      </c>
      <c r="S15" s="305">
        <v>27.074719368361912</v>
      </c>
      <c r="T15" s="305">
        <v>3.9643325280655914</v>
      </c>
      <c r="U15" s="202">
        <v>1.8206078576723497</v>
      </c>
      <c r="V15" s="306">
        <v>2.0707314889426089</v>
      </c>
      <c r="W15" s="202">
        <v>0.7322800247551785</v>
      </c>
      <c r="X15" s="306">
        <v>21.297070438287882</v>
      </c>
      <c r="Y15" s="306">
        <v>1.0257998756515128</v>
      </c>
      <c r="Z15" s="307">
        <v>41.935394225127823</v>
      </c>
      <c r="AA15" s="306">
        <v>0.13893554180136009</v>
      </c>
      <c r="AB15" s="306"/>
      <c r="AC15" s="205">
        <v>17.71</v>
      </c>
      <c r="AD15" s="222">
        <v>7.1199779097059226</v>
      </c>
      <c r="AE15" s="206">
        <f>AC15-AD15</f>
        <v>10.590022090294077</v>
      </c>
      <c r="AF15" s="154">
        <v>3.42</v>
      </c>
      <c r="AG15" s="207">
        <f>10^-AF15</f>
        <v>3.8018939632056113E-4</v>
      </c>
      <c r="AH15" s="207">
        <v>3.1622776601683798E-2</v>
      </c>
      <c r="AI15" s="207">
        <f>+AG15*AH15</f>
        <v>1.2022644346174128E-5</v>
      </c>
      <c r="AJ15" s="207">
        <v>5.0118723362727197E-7</v>
      </c>
      <c r="AK15" s="207">
        <f>+((AJ15/(10^(-H15)))*AI15)*1000000</f>
        <v>151.3561248436213</v>
      </c>
      <c r="AL15" s="207">
        <v>5.6234132519034893E-11</v>
      </c>
      <c r="AM15" s="207">
        <f>+(((AJ15*AL15)/(10^(-H15)))*AI15)*1000000</f>
        <v>8.5113803820237901E-9</v>
      </c>
      <c r="AN15" s="208">
        <f>+AK15+2*AM15</f>
        <v>151.35612486064406</v>
      </c>
      <c r="AO15" s="155">
        <f>+(5.5*(N15))*(10^-(0.96+0.9*H15-0.039*((H15)^2)))/((10^-(0.96+0.9*H15-0.039*((H15)^2)))+(10^-H15))</f>
        <v>29.316482083177629</v>
      </c>
      <c r="AP15" s="155">
        <f>+(5.5*(N15))*(10^-(0.96+0.9*4.5-0.039*((4.5)^2)))/((10^-(0.96+0.9*4.5-0.039*((4.5)^2)))+(10^-4.5))</f>
        <v>19.455978123814742</v>
      </c>
      <c r="AQ15" s="209"/>
      <c r="AR15" s="210">
        <f>(10^-H15)*1000000</f>
        <v>3.9810717055349568E-2</v>
      </c>
      <c r="AS15" s="211">
        <f>(Q15/40.078*1000)*2</f>
        <v>1406.1542349102774</v>
      </c>
      <c r="AT15" s="211">
        <f>(R15/24.312*1000)*2</f>
        <v>309.40234884165022</v>
      </c>
      <c r="AU15" s="211">
        <f>(S15/22.99*1000)</f>
        <v>1177.6737437304007</v>
      </c>
      <c r="AV15" s="211">
        <f>(T15/39.102*1000)</f>
        <v>101.38439282045911</v>
      </c>
      <c r="AW15" s="211">
        <f>(X15/96.064*1000)*2</f>
        <v>443.39337188307553</v>
      </c>
      <c r="AX15" s="212">
        <f>(Y15/62.0067*1000)</f>
        <v>16.543371533261933</v>
      </c>
      <c r="AY15" s="211">
        <f>(Z15/35.453*1000)</f>
        <v>1182.8447303508256</v>
      </c>
      <c r="AZ15" s="210">
        <f>(AA15/18.998)*1000</f>
        <v>7.3131667439393659</v>
      </c>
      <c r="BA15" s="210">
        <f>+AD15/30.97*3</f>
        <v>0.68969756955498118</v>
      </c>
      <c r="BB15" s="211">
        <f>IF(H15&lt;5.5,0,I15-31.62+AR15)</f>
        <v>1042.613873279319</v>
      </c>
      <c r="BC15" s="213"/>
      <c r="BD15" s="211">
        <f>SUM(AR15:AV15)-SUM(AW15:BB15)</f>
        <v>301.25631965986713</v>
      </c>
      <c r="BE15" s="156">
        <f>BD15/SUM(AR15:BB15)*100</f>
        <v>5.2962996882097251</v>
      </c>
      <c r="BF15" s="214">
        <f>0.5*(SUM(AR15:AV15)+SUM(AW15:AZ15))*0.000001</f>
        <v>2.3223745857654725E-3</v>
      </c>
    </row>
    <row r="16" spans="1:88" s="196" customFormat="1" ht="12.75" x14ac:dyDescent="0.2">
      <c r="B16" s="45">
        <v>7</v>
      </c>
      <c r="C16" s="152" t="s">
        <v>106</v>
      </c>
      <c r="D16" s="152" t="s">
        <v>22</v>
      </c>
      <c r="E16" s="197" t="s">
        <v>163</v>
      </c>
      <c r="F16" s="153">
        <v>2000</v>
      </c>
      <c r="G16" s="157">
        <v>3.799999999999994</v>
      </c>
      <c r="H16" s="199">
        <v>7.39</v>
      </c>
      <c r="I16" s="200">
        <v>1194.6945799962623</v>
      </c>
      <c r="J16" s="201">
        <v>261</v>
      </c>
      <c r="K16" s="202">
        <v>22.5</v>
      </c>
      <c r="L16" s="215">
        <v>0.13200000000000001</v>
      </c>
      <c r="M16" s="157">
        <v>1.6E-2</v>
      </c>
      <c r="N16" s="204">
        <v>4.008</v>
      </c>
      <c r="O16" s="204">
        <f>L16/N16</f>
        <v>3.2934131736526949E-2</v>
      </c>
      <c r="P16" s="204">
        <f>L16/M16</f>
        <v>8.25</v>
      </c>
      <c r="Q16" s="202">
        <v>22.299099999999999</v>
      </c>
      <c r="R16" s="202">
        <v>3.0527299999999999</v>
      </c>
      <c r="S16" s="202">
        <v>25.276700000000002</v>
      </c>
      <c r="T16" s="202">
        <v>2.7717800000000001</v>
      </c>
      <c r="U16" s="308">
        <v>0</v>
      </c>
      <c r="V16" s="308">
        <v>0</v>
      </c>
      <c r="W16" s="308">
        <v>0</v>
      </c>
      <c r="X16" s="309">
        <f>2.35888038177567*10</f>
        <v>23.588803817756698</v>
      </c>
      <c r="Y16" s="309">
        <v>0.39617740460422146</v>
      </c>
      <c r="Z16" s="309">
        <v>44.235860060574765</v>
      </c>
      <c r="AA16" s="309">
        <v>0.15715786581948643</v>
      </c>
      <c r="AB16" s="309"/>
      <c r="AC16" s="196">
        <v>50</v>
      </c>
      <c r="AD16" s="196">
        <v>37</v>
      </c>
      <c r="AE16" s="196">
        <v>3</v>
      </c>
      <c r="AF16" s="154">
        <v>3.42</v>
      </c>
      <c r="AG16" s="207">
        <f>10^-AF16</f>
        <v>3.8018939632056113E-4</v>
      </c>
      <c r="AH16" s="207">
        <v>3.1622776601683798E-2</v>
      </c>
      <c r="AI16" s="207">
        <f>+AG16*AH16</f>
        <v>1.2022644346174128E-5</v>
      </c>
      <c r="AJ16" s="207">
        <v>5.0118723362727197E-7</v>
      </c>
      <c r="AK16" s="207">
        <f>+((AJ16/(10^(-H16)))*AI16)*1000000</f>
        <v>147.9108388168207</v>
      </c>
      <c r="AL16" s="207">
        <v>5.6234132519034893E-11</v>
      </c>
      <c r="AM16" s="207">
        <f>+(((AJ16*AL16)/(10^(-H16)))*AI16)*1000000</f>
        <v>8.3176377110267054E-9</v>
      </c>
      <c r="AN16" s="208">
        <f>+AK16+2*AM16</f>
        <v>147.91083883345598</v>
      </c>
      <c r="AO16" s="155">
        <f>+(5.5*(N16))*(10^-(0.96+0.9*H16-0.039*((H16)^2)))/((10^-(0.96+0.9*H16-0.039*((H16)^2)))+(10^-H16))</f>
        <v>21.775407188738708</v>
      </c>
      <c r="AP16" s="155">
        <f>+(5.5*(N16))*(10^-(0.96+0.9*4.5-0.039*((4.5)^2)))/((10^-(0.96+0.9*4.5-0.039*((4.5)^2)))+(10^-4.5))</f>
        <v>14.454042691427151</v>
      </c>
      <c r="AQ16" s="209"/>
      <c r="AR16" s="210">
        <f>(10^-H16)*1000000</f>
        <v>4.0738027780411253E-2</v>
      </c>
      <c r="AS16" s="211">
        <f>(Q16/40.078*1000)*2</f>
        <v>1112.7850691152253</v>
      </c>
      <c r="AT16" s="211">
        <f>(R16/24.312*1000)*2</f>
        <v>251.12948338269163</v>
      </c>
      <c r="AU16" s="211">
        <f>(S16/22.99*1000)</f>
        <v>1099.4649847759897</v>
      </c>
      <c r="AV16" s="212">
        <f>(T16/39.102*1000)</f>
        <v>70.885888189862428</v>
      </c>
      <c r="AW16" s="211">
        <f>(X16/96.064*1000)*2</f>
        <v>491.10600886402187</v>
      </c>
      <c r="AX16" s="212">
        <f>(Y16/62.0067*1000)</f>
        <v>6.389267685656896</v>
      </c>
      <c r="AY16" s="211">
        <f>(Z16/35.453*1000)</f>
        <v>1247.732492612043</v>
      </c>
      <c r="AZ16" s="210">
        <f>(AA16/18.998)*1000</f>
        <v>8.2723373944355405</v>
      </c>
      <c r="BA16" s="210">
        <f>+AD16/30.97*3</f>
        <v>3.5841136583790769</v>
      </c>
      <c r="BB16" s="211">
        <f>IF(H16&lt;5.5,0,I16-31.62+AR16)</f>
        <v>1163.1153180240428</v>
      </c>
      <c r="BC16" s="213"/>
      <c r="BD16" s="211">
        <f>SUM(AR16:AV16)-SUM(AW16:BB16)</f>
        <v>-385.89337474702961</v>
      </c>
      <c r="BE16" s="156">
        <f>BD16/SUM(AR16:BB16)*100</f>
        <v>-7.0747634313523058</v>
      </c>
      <c r="BF16" s="214">
        <f>0.5*(SUM(AR16:AV16)+SUM(AW16:AZ16))*0.000001</f>
        <v>2.1439031350238532E-3</v>
      </c>
    </row>
    <row r="17" spans="1:88" s="196" customFormat="1" ht="15.75" customHeight="1" x14ac:dyDescent="0.2">
      <c r="A17" s="277"/>
      <c r="B17" s="278">
        <v>9</v>
      </c>
      <c r="C17" s="279" t="s">
        <v>106</v>
      </c>
      <c r="D17" s="280" t="s">
        <v>22</v>
      </c>
      <c r="E17" s="281">
        <v>42674.604861111111</v>
      </c>
      <c r="F17" s="282">
        <v>1000</v>
      </c>
      <c r="G17" s="288"/>
      <c r="H17" s="283">
        <v>6.4</v>
      </c>
      <c r="I17" s="282">
        <v>1230</v>
      </c>
      <c r="J17" s="303">
        <v>63.9</v>
      </c>
      <c r="K17" s="284">
        <v>22.4</v>
      </c>
      <c r="L17" s="286">
        <v>0.157</v>
      </c>
      <c r="M17" s="286">
        <v>1.7000000000000001E-2</v>
      </c>
      <c r="N17" s="283">
        <v>7.7350000000000003</v>
      </c>
      <c r="O17" s="287">
        <f>L17/N17</f>
        <v>2.0297349709114416E-2</v>
      </c>
      <c r="P17" s="287">
        <f>L17/M17</f>
        <v>9.235294117647058</v>
      </c>
      <c r="Q17" s="310">
        <v>23.431000000000001</v>
      </c>
      <c r="R17" s="310">
        <v>3.0590000000000002</v>
      </c>
      <c r="S17" s="310">
        <v>20.300999999999998</v>
      </c>
      <c r="T17" s="310">
        <v>3.7639999999999998</v>
      </c>
      <c r="U17" s="313"/>
      <c r="V17" s="313"/>
      <c r="W17" s="310">
        <v>38</v>
      </c>
      <c r="X17" s="300">
        <v>20.865400000000001</v>
      </c>
      <c r="Y17" s="300">
        <v>1.0989</v>
      </c>
      <c r="Z17" s="302">
        <v>39.933300000000003</v>
      </c>
      <c r="AA17" s="312"/>
      <c r="AB17" s="312"/>
      <c r="AC17" s="285">
        <v>12</v>
      </c>
      <c r="AD17" s="285">
        <v>11</v>
      </c>
      <c r="AE17" s="289">
        <f>AC17-AD17</f>
        <v>1</v>
      </c>
      <c r="AF17" s="290">
        <v>3.42</v>
      </c>
      <c r="AG17" s="291">
        <f>10^-AF17</f>
        <v>3.8018939632056113E-4</v>
      </c>
      <c r="AH17" s="291">
        <v>3.1622776601683798E-2</v>
      </c>
      <c r="AI17" s="291">
        <f>+AG17*AH17</f>
        <v>1.2022644346174128E-5</v>
      </c>
      <c r="AJ17" s="291">
        <v>5.0118723362727197E-7</v>
      </c>
      <c r="AK17" s="291">
        <f>+((AJ17/(10^(-H17)))*AI17)*1000000</f>
        <v>15.13561248436211</v>
      </c>
      <c r="AL17" s="291">
        <v>5.6234132519034893E-11</v>
      </c>
      <c r="AM17" s="291">
        <f>+(((AJ17*AL17)/(10^(-H17)))*AI17)*1000000</f>
        <v>8.5113803820237799E-10</v>
      </c>
      <c r="AN17" s="292">
        <f>+AK17+2*AM17</f>
        <v>15.135612486064385</v>
      </c>
      <c r="AO17" s="293">
        <f>+(5.5*(N17))*(10^-(0.96+0.9*H17-0.039*((H17)^2)))/((10^-(0.96+0.9*H17-0.039*((H17)^2)))+(10^-H17))</f>
        <v>40.409254499296686</v>
      </c>
      <c r="AP17" s="293">
        <f>+(5.5*(N17))*(10^-(0.96+0.9*4.5-0.039*((4.5)^2)))/((10^-(0.96+0.9*4.5-0.039*((4.5)^2)))+(10^-4.5))</f>
        <v>27.894715623300655</v>
      </c>
      <c r="AQ17" s="294"/>
      <c r="AR17" s="295">
        <f>(10^-H17)*1000000</f>
        <v>0.3981071705534962</v>
      </c>
      <c r="AS17" s="296">
        <f>(Q17/40.078*1000)*2</f>
        <v>1169.2699236488845</v>
      </c>
      <c r="AT17" s="296">
        <f>(R17/24.312*1000)*2</f>
        <v>251.64527805199077</v>
      </c>
      <c r="AU17" s="296">
        <f>(S17/22.99*1000)</f>
        <v>883.03610265332759</v>
      </c>
      <c r="AV17" s="297">
        <f>(T17/39.102*1000)</f>
        <v>96.261060815303566</v>
      </c>
      <c r="AW17" s="296">
        <f>(X17/96.064*1000)*2</f>
        <v>434.40622918054635</v>
      </c>
      <c r="AX17" s="297">
        <f>(Y17/62.0067*1000)</f>
        <v>17.722278398947211</v>
      </c>
      <c r="AY17" s="296">
        <f>(Z17/35.453*1000)</f>
        <v>1126.3729444616818</v>
      </c>
      <c r="AZ17" s="295">
        <f>(AA17/18.998)*1000</f>
        <v>0</v>
      </c>
      <c r="BA17" s="295">
        <f>+AD17/30.97*3</f>
        <v>1.0655473038424281</v>
      </c>
      <c r="BB17" s="296">
        <f>IF(H17&lt;5.5,0,I17-31.62+AR17)</f>
        <v>1198.7781071705535</v>
      </c>
      <c r="BC17" s="298"/>
      <c r="BD17" s="296">
        <f>SUM(AR17:AV17)-SUM(AW17:BB17)</f>
        <v>-377.73463417551147</v>
      </c>
      <c r="BE17" s="296">
        <f>BD17/SUM(AR17:BB17)*100</f>
        <v>-7.2936449912354266</v>
      </c>
      <c r="BF17" s="299">
        <f>0.5*(SUM(AR17:AV17)+SUM(AW17:AZ17))*0.000001</f>
        <v>1.9895559621906176E-3</v>
      </c>
      <c r="BG17" s="277"/>
      <c r="BH17" s="277"/>
      <c r="BI17" s="277"/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277"/>
    </row>
    <row r="18" spans="1:88" s="196" customFormat="1" ht="15.75" customHeight="1" x14ac:dyDescent="0.2">
      <c r="A18" s="277"/>
      <c r="B18" s="278"/>
      <c r="C18" s="279"/>
      <c r="D18" s="280"/>
      <c r="E18" s="281"/>
      <c r="F18" s="282"/>
      <c r="G18" s="288"/>
      <c r="H18" s="283"/>
      <c r="I18" s="282"/>
      <c r="J18" s="284"/>
      <c r="K18" s="284"/>
      <c r="L18" s="286"/>
      <c r="M18" s="286"/>
      <c r="N18" s="283"/>
      <c r="O18" s="287"/>
      <c r="P18" s="287"/>
      <c r="Q18" s="310"/>
      <c r="R18" s="310"/>
      <c r="S18" s="310"/>
      <c r="T18" s="310"/>
      <c r="U18" s="313"/>
      <c r="V18" s="313"/>
      <c r="W18" s="310"/>
      <c r="X18" s="300"/>
      <c r="Y18" s="300"/>
      <c r="Z18" s="302"/>
      <c r="AA18" s="312"/>
      <c r="AB18" s="312"/>
      <c r="AC18" s="285"/>
      <c r="AD18" s="285"/>
      <c r="AE18" s="289"/>
      <c r="AF18" s="290"/>
      <c r="AG18" s="291"/>
      <c r="AH18" s="291"/>
      <c r="AI18" s="291"/>
      <c r="AJ18" s="291"/>
      <c r="AK18" s="291"/>
      <c r="AL18" s="291"/>
      <c r="AM18" s="291"/>
      <c r="AN18" s="292"/>
      <c r="AO18" s="293"/>
      <c r="AP18" s="293"/>
      <c r="AQ18" s="294"/>
      <c r="AR18" s="295"/>
      <c r="AS18" s="296"/>
      <c r="AT18" s="296"/>
      <c r="AU18" s="296"/>
      <c r="AV18" s="297"/>
      <c r="AW18" s="296"/>
      <c r="AX18" s="297"/>
      <c r="AY18" s="296"/>
      <c r="AZ18" s="295"/>
      <c r="BA18" s="295"/>
      <c r="BB18" s="296"/>
      <c r="BC18" s="298"/>
      <c r="BD18" s="296"/>
      <c r="BE18" s="296"/>
      <c r="BF18" s="299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7"/>
      <c r="BR18" s="277"/>
      <c r="BS18" s="277"/>
      <c r="BT18" s="277"/>
      <c r="BU18" s="277"/>
      <c r="BV18" s="277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  <c r="CG18" s="277"/>
      <c r="CH18" s="277"/>
      <c r="CI18" s="277"/>
      <c r="CJ18" s="277"/>
    </row>
    <row r="19" spans="1:88" s="196" customFormat="1" ht="12.75" x14ac:dyDescent="0.2">
      <c r="B19" s="45">
        <v>9</v>
      </c>
      <c r="C19" s="152" t="s">
        <v>109</v>
      </c>
      <c r="D19" s="152" t="s">
        <v>22</v>
      </c>
      <c r="E19" s="197" t="s">
        <v>158</v>
      </c>
      <c r="F19" s="153">
        <v>1000</v>
      </c>
      <c r="G19" s="198"/>
      <c r="H19" s="199">
        <v>7.23</v>
      </c>
      <c r="I19" s="200">
        <v>228.3687661434532</v>
      </c>
      <c r="J19" s="201">
        <v>45.9</v>
      </c>
      <c r="K19" s="202">
        <v>20.6</v>
      </c>
      <c r="L19" s="157">
        <v>2.8000000000000001E-2</v>
      </c>
      <c r="M19" s="157">
        <v>3.0000000000000001E-3</v>
      </c>
      <c r="N19" s="203">
        <v>1.9119999999999999</v>
      </c>
      <c r="O19" s="204">
        <f>L19/N19</f>
        <v>1.4644351464435146E-2</v>
      </c>
      <c r="P19" s="204">
        <f>L19/M19</f>
        <v>9.3333333333333339</v>
      </c>
      <c r="Q19" s="305">
        <v>7.6698182323586517</v>
      </c>
      <c r="R19" s="305">
        <v>1.1573751651842334</v>
      </c>
      <c r="S19" s="305">
        <v>1.9272171947874293</v>
      </c>
      <c r="T19" s="305">
        <v>0.55636694586113178</v>
      </c>
      <c r="U19" s="202">
        <v>1.2961452928094885</v>
      </c>
      <c r="V19" s="306">
        <v>0.69818246933476591</v>
      </c>
      <c r="W19" s="202">
        <v>3.0943973206159669E-2</v>
      </c>
      <c r="X19" s="306">
        <v>8.5118327836603971</v>
      </c>
      <c r="Y19" s="306">
        <v>0.86668992878542694</v>
      </c>
      <c r="Z19" s="307">
        <v>2.6962483191737561</v>
      </c>
      <c r="AA19" s="306">
        <v>5.9645730383722256E-2</v>
      </c>
      <c r="AB19" s="306"/>
      <c r="AC19" s="223">
        <v>0</v>
      </c>
      <c r="AD19" s="223">
        <v>0</v>
      </c>
      <c r="AE19" s="206">
        <f>AC19-AD19</f>
        <v>0</v>
      </c>
      <c r="AF19" s="154">
        <v>3.42</v>
      </c>
      <c r="AG19" s="207">
        <f>10^-AF19</f>
        <v>3.8018939632056113E-4</v>
      </c>
      <c r="AH19" s="207">
        <v>3.1622776601683798E-2</v>
      </c>
      <c r="AI19" s="207">
        <f>+AG19*AH19</f>
        <v>1.2022644346174128E-5</v>
      </c>
      <c r="AJ19" s="207">
        <v>5.0118723362727197E-7</v>
      </c>
      <c r="AK19" s="207">
        <f>+((AJ19/(10^(-H19)))*AI19)*1000000</f>
        <v>102.32929922807556</v>
      </c>
      <c r="AL19" s="207">
        <v>5.6234132519034893E-11</v>
      </c>
      <c r="AM19" s="207">
        <f>+(((AJ19*AL19)/(10^(-H19)))*AI19)*1000000</f>
        <v>5.754399373371576E-9</v>
      </c>
      <c r="AN19" s="208">
        <f>+AK19+2*AM19</f>
        <v>102.32929923958436</v>
      </c>
      <c r="AO19" s="155">
        <f>+(5.5*(N19))*(10^-(0.96+0.9*H19-0.039*((H19)^2)))/((10^-(0.96+0.9*H19-0.039*((H19)^2)))+(10^-H19))</f>
        <v>10.352542844677746</v>
      </c>
      <c r="AP19" s="155">
        <f>+(5.5*(N19))*(10^-(0.96+0.9*4.5-0.039*((4.5)^2)))/((10^-(0.96+0.9*4.5-0.039*((4.5)^2)))+(10^-4.5))</f>
        <v>6.8952419226568651</v>
      </c>
      <c r="AQ19" s="209"/>
      <c r="AR19" s="210">
        <f>(10^-H19)*1000000</f>
        <v>5.8884365535558779E-2</v>
      </c>
      <c r="AS19" s="211">
        <f>(Q19/40.078*1000)*2</f>
        <v>382.74455972646592</v>
      </c>
      <c r="AT19" s="212">
        <f>(R19/24.312*1000)*2</f>
        <v>95.210197859841514</v>
      </c>
      <c r="AU19" s="212">
        <f>(S19/22.99*1000)</f>
        <v>83.828499120810321</v>
      </c>
      <c r="AV19" s="212">
        <f>(T19/39.102*1000)</f>
        <v>14.228605847811668</v>
      </c>
      <c r="AW19" s="211">
        <f>(X19/96.064*1000)*2</f>
        <v>177.2117085205779</v>
      </c>
      <c r="AX19" s="212">
        <f>(Y19/62.0067*1000)</f>
        <v>13.977359362543515</v>
      </c>
      <c r="AY19" s="212">
        <f>(Z19/35.453*1000)</f>
        <v>76.051344573766841</v>
      </c>
      <c r="AZ19" s="210">
        <f>(AA19/18.998)*1000</f>
        <v>3.1395794496116567</v>
      </c>
      <c r="BA19" s="210">
        <f>+AD19/30.97*3</f>
        <v>0</v>
      </c>
      <c r="BB19" s="211">
        <f>IF(H19&lt;5.5,0,I19-31.62+AR19)</f>
        <v>196.80765050898876</v>
      </c>
      <c r="BC19" s="213"/>
      <c r="BD19" s="211">
        <f>SUM(AR19:AV19)-SUM(AW19:BB19)</f>
        <v>108.88310450497636</v>
      </c>
      <c r="BE19" s="156">
        <f>BD19/SUM(AR19:BB19)*100</f>
        <v>10.436829995134929</v>
      </c>
      <c r="BF19" s="214">
        <f>0.5*(SUM(AR19:AV19)+SUM(AW19:AZ19))*0.000001</f>
        <v>4.2322536941348244E-4</v>
      </c>
    </row>
    <row r="20" spans="1:88" s="196" customFormat="1" ht="12.75" x14ac:dyDescent="0.2">
      <c r="B20" s="45">
        <v>11</v>
      </c>
      <c r="C20" s="152" t="s">
        <v>109</v>
      </c>
      <c r="D20" s="152" t="s">
        <v>22</v>
      </c>
      <c r="E20" s="218" t="s">
        <v>167</v>
      </c>
      <c r="F20" s="153">
        <v>2000</v>
      </c>
      <c r="G20" s="157">
        <v>0.89999999999997493</v>
      </c>
      <c r="H20" s="199">
        <v>6.5</v>
      </c>
      <c r="I20" s="200">
        <v>274.43862139204447</v>
      </c>
      <c r="J20" s="220">
        <v>44</v>
      </c>
      <c r="K20" s="202">
        <v>22.7</v>
      </c>
      <c r="L20" s="215">
        <v>2.7E-2</v>
      </c>
      <c r="M20" s="157">
        <v>2E-3</v>
      </c>
      <c r="N20" s="204">
        <v>0.75080000000000002</v>
      </c>
      <c r="O20" s="204">
        <f>L20/N20</f>
        <v>3.5961640916355883E-2</v>
      </c>
      <c r="P20" s="204">
        <f>L20/M20</f>
        <v>13.5</v>
      </c>
      <c r="Q20" s="202">
        <v>5.4847400000000004</v>
      </c>
      <c r="R20" s="202">
        <v>0.93453299999999995</v>
      </c>
      <c r="S20" s="202">
        <v>0.84845999999999999</v>
      </c>
      <c r="T20" s="308">
        <v>0</v>
      </c>
      <c r="U20" s="308">
        <v>0</v>
      </c>
      <c r="V20" s="308">
        <v>0</v>
      </c>
      <c r="W20" s="308">
        <v>0</v>
      </c>
      <c r="X20" s="309">
        <v>8.9091169830723622</v>
      </c>
      <c r="Y20" s="309">
        <v>0.36588690437388222</v>
      </c>
      <c r="Z20" s="309">
        <v>2.8898767239326824</v>
      </c>
      <c r="AA20" s="309">
        <v>8.1802591515781356E-2</v>
      </c>
      <c r="AB20" s="309"/>
      <c r="AC20" s="196">
        <v>50</v>
      </c>
      <c r="AD20" s="196">
        <v>30</v>
      </c>
      <c r="AE20" s="196">
        <v>1</v>
      </c>
      <c r="AF20" s="154">
        <v>3.42</v>
      </c>
      <c r="AG20" s="207">
        <f>10^-AF20</f>
        <v>3.8018939632056113E-4</v>
      </c>
      <c r="AH20" s="207">
        <v>3.1622776601683798E-2</v>
      </c>
      <c r="AI20" s="207">
        <f>+AG20*AH20</f>
        <v>1.2022644346174128E-5</v>
      </c>
      <c r="AJ20" s="207">
        <v>5.0118723362727197E-7</v>
      </c>
      <c r="AK20" s="207">
        <f>+((AJ20/(10^(-H20)))*AI20)*1000000</f>
        <v>19.054607179632495</v>
      </c>
      <c r="AL20" s="207">
        <v>5.6234132519034893E-11</v>
      </c>
      <c r="AM20" s="207">
        <f>+(((AJ20*AL20)/(10^(-H20)))*AI20)*1000000</f>
        <v>1.0715193052376076E-9</v>
      </c>
      <c r="AN20" s="208">
        <f>+AK20+2*AM20</f>
        <v>19.054607181775534</v>
      </c>
      <c r="AO20" s="155">
        <f>+(5.5*(N20))*(10^-(0.96+0.9*H20-0.039*((H20)^2)))/((10^-(0.96+0.9*H20-0.039*((H20)^2)))+(10^-H20))</f>
        <v>3.9480040487591719</v>
      </c>
      <c r="AP20" s="155">
        <f>+(5.5*(N20))*(10^-(0.96+0.9*4.5-0.039*((4.5)^2)))/((10^-(0.96+0.9*4.5-0.039*((4.5)^2)))+(10^-4.5))</f>
        <v>2.7076085959888991</v>
      </c>
      <c r="AQ20" s="209"/>
      <c r="AR20" s="210">
        <f>(10^-H20)*1000000</f>
        <v>0.31622776601683733</v>
      </c>
      <c r="AS20" s="211">
        <f>(Q20/40.078*1000)*2</f>
        <v>273.70327860671688</v>
      </c>
      <c r="AT20" s="211">
        <f>(R20/24.312*1000)*2</f>
        <v>76.878331688055269</v>
      </c>
      <c r="AU20" s="211">
        <f>(S20/22.99*1000)</f>
        <v>36.90561113527621</v>
      </c>
      <c r="AV20" s="212">
        <f>(T20/39.102*1000)</f>
        <v>0</v>
      </c>
      <c r="AW20" s="211">
        <f>(X20/96.064*1000)*2</f>
        <v>185.48294851499756</v>
      </c>
      <c r="AX20" s="212">
        <f>(Y20/62.0067*1000)</f>
        <v>5.9007640202410734</v>
      </c>
      <c r="AY20" s="211">
        <f>(Z20/35.453*1000)</f>
        <v>81.512896621800195</v>
      </c>
      <c r="AZ20" s="210">
        <f>(AA20/18.998)*1000</f>
        <v>4.3058528011254529</v>
      </c>
      <c r="BA20" s="210">
        <f>+AD20/30.97*3</f>
        <v>2.9060381013884404</v>
      </c>
      <c r="BB20" s="211">
        <f>IF(H20&lt;5.5,0,I20-31.62+AR20)</f>
        <v>243.13484915806131</v>
      </c>
      <c r="BC20" s="213"/>
      <c r="BD20" s="211">
        <f>SUM(AR20:AV20)-SUM(AW20:BB20)</f>
        <v>-135.43990002154891</v>
      </c>
      <c r="BE20" s="156">
        <f>BD20/SUM(AR20:BB20)*100</f>
        <v>-14.86640425688096</v>
      </c>
      <c r="BF20" s="214">
        <f>0.5*(SUM(AR20:AV20)+SUM(AW20:AZ20))*0.000001</f>
        <v>3.3250295557711471E-4</v>
      </c>
    </row>
    <row r="21" spans="1:88" s="196" customFormat="1" ht="12.75" x14ac:dyDescent="0.2">
      <c r="B21" s="45">
        <v>1</v>
      </c>
      <c r="C21" s="152" t="s">
        <v>109</v>
      </c>
      <c r="D21" s="152" t="s">
        <v>22</v>
      </c>
      <c r="E21" s="216">
        <v>42292.5</v>
      </c>
      <c r="F21" s="153">
        <v>1000</v>
      </c>
      <c r="G21" s="152">
        <v>0</v>
      </c>
      <c r="H21" s="152">
        <v>7.46</v>
      </c>
      <c r="I21" s="152">
        <v>270</v>
      </c>
      <c r="J21" s="152">
        <v>49.3</v>
      </c>
      <c r="K21" s="198">
        <v>20.9</v>
      </c>
      <c r="L21" s="224">
        <v>3.5999999999999997E-2</v>
      </c>
      <c r="M21" s="224">
        <v>2E-3</v>
      </c>
      <c r="N21" s="217">
        <v>2.2309999999999999</v>
      </c>
      <c r="O21" s="204">
        <f>L21/N21</f>
        <v>1.6136261766024205E-2</v>
      </c>
      <c r="P21" s="204">
        <f>L21/M21</f>
        <v>18</v>
      </c>
      <c r="Q21" s="202">
        <v>5.5270000000000001</v>
      </c>
      <c r="R21" s="202">
        <v>1.1220000000000001</v>
      </c>
      <c r="S21" s="202">
        <v>1.8620000000000001</v>
      </c>
      <c r="T21" s="202">
        <v>0.5181</v>
      </c>
      <c r="U21" s="202">
        <v>1.6234247590808004</v>
      </c>
      <c r="V21" s="309">
        <v>0.51755014326647564</v>
      </c>
      <c r="W21" s="202">
        <v>0.20036429872495448</v>
      </c>
      <c r="X21" s="309">
        <v>7.5561335143805124</v>
      </c>
      <c r="Y21" s="309">
        <v>0.21082915674010316</v>
      </c>
      <c r="Z21" s="309">
        <v>2.4598227996121751</v>
      </c>
      <c r="AA21" s="309"/>
      <c r="AB21" s="309"/>
      <c r="AC21" s="152">
        <v>13</v>
      </c>
      <c r="AD21" s="152">
        <v>8</v>
      </c>
      <c r="AE21" s="152">
        <v>10</v>
      </c>
      <c r="AF21" s="154">
        <v>3.42</v>
      </c>
      <c r="AG21" s="207">
        <f>10^-AF21</f>
        <v>3.8018939632056113E-4</v>
      </c>
      <c r="AH21" s="207">
        <v>3.1622776601683798E-2</v>
      </c>
      <c r="AI21" s="207">
        <f>+AG21*AH21</f>
        <v>1.2022644346174128E-5</v>
      </c>
      <c r="AJ21" s="207">
        <v>5.0118723362727197E-7</v>
      </c>
      <c r="AK21" s="207">
        <f>+((AJ21/(10^(-H21)))*AI21)*1000000</f>
        <v>173.78008287493739</v>
      </c>
      <c r="AL21" s="207">
        <v>5.6234132519034893E-11</v>
      </c>
      <c r="AM21" s="207">
        <f>+(((AJ21*AL21)/(10^(-H21)))*AI21)*1000000</f>
        <v>9.7723722095580961E-9</v>
      </c>
      <c r="AN21" s="208">
        <f>+AK21+2*AM21</f>
        <v>173.78008289448215</v>
      </c>
      <c r="AO21" s="155">
        <f>+(5.5*(N21))*(10^-(0.96+0.9*H21-0.039*((H21)^2)))/((10^-(0.96+0.9*H21-0.039*((H21)^2)))+(10^-H21))</f>
        <v>12.136324024003823</v>
      </c>
      <c r="AP21" s="155">
        <f>+(5.5*(N21))*(10^-(0.96+0.9*4.5-0.039*((4.5)^2)))/((10^-(0.96+0.9*4.5-0.039*((4.5)^2)))+(10^-4.5))</f>
        <v>8.0456510091252422</v>
      </c>
      <c r="AQ21" s="209"/>
      <c r="AR21" s="210">
        <f>(10^-H21)*1000000</f>
        <v>3.4673685045253172E-2</v>
      </c>
      <c r="AS21" s="211">
        <f>(Q21/40.078*1000)*2</f>
        <v>275.81216627576225</v>
      </c>
      <c r="AT21" s="211">
        <f>(R21/24.312*1000)*2</f>
        <v>92.300098716683124</v>
      </c>
      <c r="AU21" s="211">
        <f>(S21/22.99*1000)</f>
        <v>80.991735537190095</v>
      </c>
      <c r="AV21" s="212">
        <f>(T21/39.102*1000)</f>
        <v>13.249961638790856</v>
      </c>
      <c r="AW21" s="211">
        <f>(X21/96.064*1000)*2</f>
        <v>157.31457183503733</v>
      </c>
      <c r="AX21" s="212">
        <f>(Y21/62.0067*1000)</f>
        <v>3.4001028395335209</v>
      </c>
      <c r="AY21" s="211">
        <f>(Z21/35.453*1000)</f>
        <v>69.382641796524268</v>
      </c>
      <c r="AZ21" s="210">
        <f>(AA21/18.998)*1000</f>
        <v>0</v>
      </c>
      <c r="BA21" s="210">
        <f>+AD21/30.97*3</f>
        <v>0.77494349370358417</v>
      </c>
      <c r="BB21" s="211">
        <f>IF(H21&lt;5.5,0,I21-31.62+AR21)</f>
        <v>238.41467368504524</v>
      </c>
      <c r="BC21" s="213"/>
      <c r="BD21" s="211">
        <f>SUM(AR21:AV21)-SUM(AW21:BB21)</f>
        <v>-6.8982977963723329</v>
      </c>
      <c r="BE21" s="156">
        <f>BD21/SUM(AR21:BB21)*100</f>
        <v>-0.7404184484573183</v>
      </c>
      <c r="BF21" s="214">
        <f>0.5*(SUM(AR21:AV21)+SUM(AW21:AZ21))*0.000001</f>
        <v>3.4624297616228335E-4</v>
      </c>
    </row>
    <row r="22" spans="1:88" s="196" customFormat="1" ht="15.75" customHeight="1" x14ac:dyDescent="0.2">
      <c r="A22" s="277"/>
      <c r="B22" s="278">
        <v>1</v>
      </c>
      <c r="C22" s="279" t="s">
        <v>109</v>
      </c>
      <c r="D22" s="280" t="s">
        <v>22</v>
      </c>
      <c r="E22" s="281">
        <v>42674.474999999999</v>
      </c>
      <c r="F22" s="282">
        <v>1000</v>
      </c>
      <c r="G22" s="288"/>
      <c r="H22" s="283">
        <v>7.27</v>
      </c>
      <c r="I22" s="282">
        <v>265</v>
      </c>
      <c r="J22" s="303">
        <v>36.200000000000003</v>
      </c>
      <c r="K22" s="284">
        <v>22.2</v>
      </c>
      <c r="L22" s="286">
        <v>3.2000000000000001E-2</v>
      </c>
      <c r="M22" s="286">
        <v>2E-3</v>
      </c>
      <c r="N22" s="283">
        <v>1.9470000000000001</v>
      </c>
      <c r="O22" s="287">
        <f>L22/N22</f>
        <v>1.6435541859270673E-2</v>
      </c>
      <c r="P22" s="287">
        <f>L22/M22</f>
        <v>16</v>
      </c>
      <c r="Q22" s="310">
        <v>5.7350000000000003</v>
      </c>
      <c r="R22" s="310">
        <v>1.238</v>
      </c>
      <c r="S22" s="310">
        <v>1.806</v>
      </c>
      <c r="T22" s="310">
        <v>0.59399999999999997</v>
      </c>
      <c r="U22" s="310"/>
      <c r="V22" s="310"/>
      <c r="W22" s="310">
        <v>14</v>
      </c>
      <c r="X22" s="300">
        <v>7.8662000000000001</v>
      </c>
      <c r="Y22" s="300">
        <v>0.2205</v>
      </c>
      <c r="Z22" s="302">
        <v>0.79020000000000001</v>
      </c>
      <c r="AA22" s="311">
        <v>3.9800000000000002E-2</v>
      </c>
      <c r="AB22" s="302">
        <v>3.9800000000000002E-2</v>
      </c>
      <c r="AC22" s="285">
        <v>10</v>
      </c>
      <c r="AD22" s="285">
        <v>9</v>
      </c>
      <c r="AE22" s="289">
        <f>AC22-AD22</f>
        <v>1</v>
      </c>
      <c r="AF22" s="290">
        <v>3.42</v>
      </c>
      <c r="AG22" s="291">
        <f>10^-AF22</f>
        <v>3.8018939632056113E-4</v>
      </c>
      <c r="AH22" s="291">
        <v>3.1622776601683798E-2</v>
      </c>
      <c r="AI22" s="291">
        <f>+AG22*AH22</f>
        <v>1.2022644346174128E-5</v>
      </c>
      <c r="AJ22" s="291">
        <v>5.0118723362727197E-7</v>
      </c>
      <c r="AK22" s="291">
        <f>+((AJ22/(10^(-H22)))*AI22)*1000000</f>
        <v>112.20184543019644</v>
      </c>
      <c r="AL22" s="291">
        <v>5.6234132519034893E-11</v>
      </c>
      <c r="AM22" s="291">
        <f>+(((AJ22*AL22)/(10^(-H22)))*AI22)*1000000</f>
        <v>6.3095734448019354E-9</v>
      </c>
      <c r="AN22" s="292">
        <f>+AK22+2*AM22</f>
        <v>112.2018454428156</v>
      </c>
      <c r="AO22" s="293">
        <f>+(5.5*(N22))*(10^-(0.96+0.9*H22-0.039*((H22)^2)))/((10^-(0.96+0.9*H22-0.039*((H22)^2)))+(10^-H22))</f>
        <v>10.551801971614788</v>
      </c>
      <c r="AP22" s="293">
        <f>+(5.5*(N22))*(10^-(0.96+0.9*4.5-0.039*((4.5)^2)))/((10^-(0.96+0.9*4.5-0.039*((4.5)^2)))+(10^-4.5))</f>
        <v>7.021462355341483</v>
      </c>
      <c r="AQ22" s="294"/>
      <c r="AR22" s="295">
        <f>(10^-H22)*1000000</f>
        <v>5.3703179637025193E-2</v>
      </c>
      <c r="AS22" s="296">
        <f>(Q22/40.078*1000)*2</f>
        <v>286.19192574479763</v>
      </c>
      <c r="AT22" s="296">
        <f>(R22/24.312*1000)*2</f>
        <v>101.84271141822967</v>
      </c>
      <c r="AU22" s="296">
        <f>(S22/22.99*1000)</f>
        <v>78.555893866898671</v>
      </c>
      <c r="AV22" s="297">
        <f>(T22/39.102*1000)</f>
        <v>15.191038821543655</v>
      </c>
      <c r="AW22" s="296">
        <f>(X22/96.064*1000)*2</f>
        <v>163.76998667554966</v>
      </c>
      <c r="AX22" s="297">
        <f>(Y22/62.0067*1000)</f>
        <v>3.5560673282080804</v>
      </c>
      <c r="AY22" s="296">
        <f>(Z22/35.453*1000)</f>
        <v>22.288663864835129</v>
      </c>
      <c r="AZ22" s="295">
        <f>(AA22/18.998)*1000</f>
        <v>2.0949573639330459</v>
      </c>
      <c r="BA22" s="295">
        <f>+AD22/30.97*3</f>
        <v>0.8718114304165322</v>
      </c>
      <c r="BB22" s="296">
        <f>IF(H22&lt;5.5,0,I22-31.62+AR22)</f>
        <v>233.43370317963701</v>
      </c>
      <c r="BC22" s="298"/>
      <c r="BD22" s="296">
        <f>SUM(AR22:AV22)-SUM(AW22:BB22)</f>
        <v>55.820083188527121</v>
      </c>
      <c r="BE22" s="296">
        <f>BD22/SUM(AR22:BB22)*100</f>
        <v>6.1485988575514616</v>
      </c>
      <c r="BF22" s="299">
        <f>0.5*(SUM(AR22:AV22)+SUM(AW22:AZ22))*0.000001</f>
        <v>3.3677247413181627E-4</v>
      </c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</row>
    <row r="23" spans="1:88" s="196" customFormat="1" ht="15.75" customHeight="1" x14ac:dyDescent="0.2">
      <c r="A23" s="277"/>
      <c r="B23" s="278"/>
      <c r="C23" s="279"/>
      <c r="D23" s="280"/>
      <c r="E23" s="281"/>
      <c r="F23" s="282"/>
      <c r="G23" s="288"/>
      <c r="H23" s="283"/>
      <c r="I23" s="282"/>
      <c r="J23" s="284"/>
      <c r="K23" s="284"/>
      <c r="L23" s="286"/>
      <c r="M23" s="286"/>
      <c r="N23" s="283"/>
      <c r="O23" s="287"/>
      <c r="P23" s="287"/>
      <c r="Q23" s="310"/>
      <c r="R23" s="310"/>
      <c r="S23" s="310"/>
      <c r="T23" s="310"/>
      <c r="U23" s="310"/>
      <c r="V23" s="310"/>
      <c r="W23" s="310"/>
      <c r="X23" s="300"/>
      <c r="Y23" s="300"/>
      <c r="Z23" s="302"/>
      <c r="AA23" s="311"/>
      <c r="AB23" s="302"/>
      <c r="AC23" s="285"/>
      <c r="AD23" s="285"/>
      <c r="AE23" s="289"/>
      <c r="AF23" s="290"/>
      <c r="AG23" s="291"/>
      <c r="AH23" s="291"/>
      <c r="AI23" s="291"/>
      <c r="AJ23" s="291"/>
      <c r="AK23" s="291"/>
      <c r="AL23" s="291"/>
      <c r="AM23" s="291"/>
      <c r="AN23" s="292"/>
      <c r="AO23" s="293"/>
      <c r="AP23" s="293"/>
      <c r="AQ23" s="294"/>
      <c r="AR23" s="295"/>
      <c r="AS23" s="296"/>
      <c r="AT23" s="296"/>
      <c r="AU23" s="296"/>
      <c r="AV23" s="297"/>
      <c r="AW23" s="296"/>
      <c r="AX23" s="297"/>
      <c r="AY23" s="296"/>
      <c r="AZ23" s="295"/>
      <c r="BA23" s="295"/>
      <c r="BB23" s="296"/>
      <c r="BC23" s="298"/>
      <c r="BD23" s="296"/>
      <c r="BE23" s="296"/>
      <c r="BF23" s="299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7"/>
      <c r="BR23" s="277"/>
      <c r="BS23" s="277"/>
      <c r="BT23" s="277"/>
      <c r="BU23" s="277"/>
      <c r="BV23" s="277"/>
      <c r="BW23" s="277"/>
      <c r="BX23" s="277"/>
      <c r="BY23" s="277"/>
      <c r="BZ23" s="277"/>
      <c r="CA23" s="277"/>
      <c r="CB23" s="277"/>
      <c r="CC23" s="277"/>
      <c r="CD23" s="277"/>
      <c r="CE23" s="277"/>
      <c r="CF23" s="277"/>
      <c r="CG23" s="277"/>
      <c r="CH23" s="277"/>
      <c r="CI23" s="277"/>
      <c r="CJ23" s="277"/>
    </row>
    <row r="24" spans="1:88" s="196" customFormat="1" ht="12.75" x14ac:dyDescent="0.2">
      <c r="B24" s="45">
        <v>10</v>
      </c>
      <c r="C24" s="152" t="s">
        <v>110</v>
      </c>
      <c r="D24" s="152" t="s">
        <v>22</v>
      </c>
      <c r="E24" s="197" t="s">
        <v>152</v>
      </c>
      <c r="F24" s="153">
        <v>1000</v>
      </c>
      <c r="G24" s="198"/>
      <c r="H24" s="199">
        <v>6.68</v>
      </c>
      <c r="I24" s="200">
        <v>111.6865552903739</v>
      </c>
      <c r="J24" s="201">
        <v>19.899999999999999</v>
      </c>
      <c r="K24" s="202">
        <v>18</v>
      </c>
      <c r="L24" s="157">
        <v>0.16300000000000001</v>
      </c>
      <c r="M24" s="157">
        <v>1.7999999999999999E-2</v>
      </c>
      <c r="N24" s="203">
        <v>4.4489999999999998</v>
      </c>
      <c r="O24" s="204">
        <f>L24/N24</f>
        <v>3.6637446617217358E-2</v>
      </c>
      <c r="P24" s="204">
        <f>L24/M24</f>
        <v>9.0555555555555571</v>
      </c>
      <c r="Q24" s="305">
        <v>2.5902686975781251</v>
      </c>
      <c r="R24" s="314">
        <v>0.18869372880455609</v>
      </c>
      <c r="S24" s="305">
        <v>1.0203037935276513</v>
      </c>
      <c r="T24" s="305">
        <v>0.32467631637472705</v>
      </c>
      <c r="U24" s="202">
        <v>4.1823573017049664</v>
      </c>
      <c r="V24" s="306">
        <v>1.2609902408451965</v>
      </c>
      <c r="W24" s="202">
        <v>0.12013542538861989</v>
      </c>
      <c r="X24" s="306">
        <v>2.0594255209594228</v>
      </c>
      <c r="Y24" s="306">
        <v>1.2088644865528269</v>
      </c>
      <c r="Z24" s="307">
        <v>1.6190733744024632</v>
      </c>
      <c r="AA24" s="306">
        <v>6.7682960121688604E-2</v>
      </c>
      <c r="AB24" s="306"/>
      <c r="AC24" s="222">
        <v>0</v>
      </c>
      <c r="AD24" s="223">
        <v>0.13419853651801641</v>
      </c>
      <c r="AE24" s="206">
        <v>0</v>
      </c>
      <c r="AF24" s="154">
        <v>3.42</v>
      </c>
      <c r="AG24" s="207">
        <f>10^-AF24</f>
        <v>3.8018939632056113E-4</v>
      </c>
      <c r="AH24" s="207">
        <v>3.1622776601683798E-2</v>
      </c>
      <c r="AI24" s="207">
        <f>+AG24*AH24</f>
        <v>1.2022644346174128E-5</v>
      </c>
      <c r="AJ24" s="207">
        <v>5.0118723362727197E-7</v>
      </c>
      <c r="AK24" s="207">
        <f>+((AJ24/(10^(-H24)))*AI24)*1000000</f>
        <v>28.840315031266044</v>
      </c>
      <c r="AL24" s="207">
        <v>5.6234132519034893E-11</v>
      </c>
      <c r="AM24" s="207">
        <f>+(((AJ24*AL24)/(10^(-H24)))*AI24)*1000000</f>
        <v>1.6218100973589288E-9</v>
      </c>
      <c r="AN24" s="208">
        <f>+AK24+2*AM24</f>
        <v>28.840315034509665</v>
      </c>
      <c r="AO24" s="155">
        <f>+(5.5*(N24))*(10^-(0.96+0.9*H24-0.039*((H24)^2)))/((10^-(0.96+0.9*H24-0.039*((H24)^2)))+(10^-H24))</f>
        <v>23.627814299599386</v>
      </c>
      <c r="AP24" s="155">
        <f>+(5.5*(N24))*(10^-(0.96+0.9*4.5-0.039*((4.5)^2)))/((10^-(0.96+0.9*4.5-0.039*((4.5)^2)))+(10^-4.5))</f>
        <v>16.04442014325334</v>
      </c>
      <c r="AQ24" s="209"/>
      <c r="AR24" s="210">
        <f>(10^-H24)*1000000</f>
        <v>0.20892961308540389</v>
      </c>
      <c r="AS24" s="211">
        <f>(Q24/40.078*1000)*2</f>
        <v>129.26137519727158</v>
      </c>
      <c r="AT24" s="212">
        <f>(R24/24.312*1000)*2</f>
        <v>15.522682527521889</v>
      </c>
      <c r="AU24" s="212">
        <f>(S24/22.99*1000)</f>
        <v>44.38033029698353</v>
      </c>
      <c r="AV24" s="212">
        <f>(T24/39.102*1000)</f>
        <v>8.3033173846536528</v>
      </c>
      <c r="AW24" s="212">
        <f>(X24/96.064*1000)*2</f>
        <v>42.876114277136558</v>
      </c>
      <c r="AX24" s="212">
        <f>(Y24/62.0067*1000)</f>
        <v>19.495707505041018</v>
      </c>
      <c r="AY24" s="212">
        <f>(Z24/35.453*1000)</f>
        <v>45.668162762036026</v>
      </c>
      <c r="AZ24" s="210">
        <f>(AA24/18.998)*1000</f>
        <v>3.5626360733597537</v>
      </c>
      <c r="BA24" s="210">
        <f>+AD24/30.97*3</f>
        <v>1.2999535342397457E-2</v>
      </c>
      <c r="BB24" s="211">
        <f>IF(H24&lt;5.5,0,I24-31.62+AR24)</f>
        <v>80.275484903459301</v>
      </c>
      <c r="BC24" s="213"/>
      <c r="BD24" s="211">
        <f>SUM(AR24:AV24)-SUM(AW24:BB24)</f>
        <v>5.7855299631410162</v>
      </c>
      <c r="BE24" s="156">
        <f>BD24/SUM(AR24:BB24)*100</f>
        <v>1.4851152618576544</v>
      </c>
      <c r="BF24" s="214">
        <f>0.5*(SUM(AR24:AV24)+SUM(AW24:AZ24))*0.000001</f>
        <v>1.5463962781854472E-4</v>
      </c>
    </row>
    <row r="25" spans="1:88" s="196" customFormat="1" ht="15.75" customHeight="1" x14ac:dyDescent="0.2">
      <c r="B25" s="45">
        <v>9</v>
      </c>
      <c r="C25" s="152" t="s">
        <v>110</v>
      </c>
      <c r="D25" s="152" t="s">
        <v>0</v>
      </c>
      <c r="E25" s="197" t="s">
        <v>165</v>
      </c>
      <c r="F25" s="153">
        <v>2000</v>
      </c>
      <c r="G25" s="157">
        <v>1.4285714285714299</v>
      </c>
      <c r="H25" s="199">
        <v>7.12</v>
      </c>
      <c r="I25" s="200">
        <v>131.40114221936307</v>
      </c>
      <c r="J25" s="201">
        <v>19.07</v>
      </c>
      <c r="K25" s="202">
        <v>21.4</v>
      </c>
      <c r="L25" s="215">
        <v>0.125</v>
      </c>
      <c r="M25" s="157">
        <v>1.2E-2</v>
      </c>
      <c r="N25" s="204">
        <v>2.4460000000000002</v>
      </c>
      <c r="O25" s="204">
        <f>L25/N25</f>
        <v>5.1103843008994274E-2</v>
      </c>
      <c r="P25" s="204">
        <f>L25/M25</f>
        <v>10.416666666666666</v>
      </c>
      <c r="Q25" s="202">
        <v>1.91856</v>
      </c>
      <c r="R25" s="202">
        <v>0.31007699999999999</v>
      </c>
      <c r="S25" s="202">
        <v>0.12970200000000001</v>
      </c>
      <c r="T25" s="308">
        <v>0</v>
      </c>
      <c r="U25" s="308">
        <v>8.1767200000000002E-3</v>
      </c>
      <c r="V25" s="308">
        <v>0</v>
      </c>
      <c r="W25" s="308">
        <v>0</v>
      </c>
      <c r="X25" s="309">
        <v>2.0442119047810334</v>
      </c>
      <c r="Y25" s="309">
        <v>0.52516739486969399</v>
      </c>
      <c r="Z25" s="309">
        <v>1.828782955276836</v>
      </c>
      <c r="AA25" s="309">
        <v>8.2007914198478374E-2</v>
      </c>
      <c r="AB25" s="309"/>
      <c r="AC25" s="196">
        <v>39</v>
      </c>
      <c r="AD25" s="196">
        <v>36</v>
      </c>
      <c r="AE25" s="196">
        <v>2</v>
      </c>
      <c r="AF25" s="154">
        <v>3.42</v>
      </c>
      <c r="AG25" s="207">
        <f>10^-AF25</f>
        <v>3.8018939632056113E-4</v>
      </c>
      <c r="AH25" s="207">
        <v>3.1622776601683798E-2</v>
      </c>
      <c r="AI25" s="207">
        <f>+AG25*AH25</f>
        <v>1.2022644346174128E-5</v>
      </c>
      <c r="AJ25" s="207">
        <v>5.0118723362727197E-7</v>
      </c>
      <c r="AK25" s="207">
        <f>+((AJ25/(10^(-H25)))*AI25)*1000000</f>
        <v>79.432823472428339</v>
      </c>
      <c r="AL25" s="207">
        <v>5.6234132519034893E-11</v>
      </c>
      <c r="AM25" s="207">
        <f>+(((AJ25*AL25)/(10^(-H25)))*AI25)*1000000</f>
        <v>4.4668359215096409E-9</v>
      </c>
      <c r="AN25" s="208">
        <f>+AK25+2*AM25</f>
        <v>79.432823481362007</v>
      </c>
      <c r="AO25" s="155">
        <f>+(5.5*(N25))*(10^-(0.96+0.9*H25-0.039*((H25)^2)))/((10^-(0.96+0.9*H25-0.039*((H25)^2)))+(10^-H25))</f>
        <v>13.206561722033289</v>
      </c>
      <c r="AP25" s="155">
        <f>+(5.5*(N25))*(10^-(0.96+0.9*4.5-0.039*((4.5)^2)))/((10^-(0.96+0.9*4.5-0.039*((4.5)^2)))+(10^-4.5))</f>
        <v>8.8210050956164707</v>
      </c>
      <c r="AQ25" s="209"/>
      <c r="AR25" s="210">
        <f>(10^-H25)*1000000</f>
        <v>7.5857757502918149E-2</v>
      </c>
      <c r="AS25" s="211">
        <f>(Q25/40.078*1000)*2</f>
        <v>95.741304456310189</v>
      </c>
      <c r="AT25" s="211">
        <f>(R25/24.312*1000)*2</f>
        <v>25.508144126357351</v>
      </c>
      <c r="AU25" s="211">
        <f>(S25/22.99*1000)</f>
        <v>5.6416702914310575</v>
      </c>
      <c r="AV25" s="212">
        <f>(T25/39.102*1000)</f>
        <v>0</v>
      </c>
      <c r="AW25" s="211">
        <f>(X25/96.064*1000)*2</f>
        <v>42.559375099538507</v>
      </c>
      <c r="AX25" s="212">
        <f>(Y25/62.0067*1000)</f>
        <v>8.4695265974434051</v>
      </c>
      <c r="AY25" s="211">
        <f>(Z25/35.453*1000)</f>
        <v>51.583306216027864</v>
      </c>
      <c r="AZ25" s="210">
        <f>(AA25/18.998)*1000</f>
        <v>4.3166603957510459</v>
      </c>
      <c r="BA25" s="210">
        <f>+AD25/30.97*3</f>
        <v>3.4872457216661288</v>
      </c>
      <c r="BB25" s="211">
        <f>IF(H25&lt;5.5,0,I25-31.62+AR25)</f>
        <v>99.856999976865978</v>
      </c>
      <c r="BC25" s="213"/>
      <c r="BD25" s="211">
        <f>SUM(AR25:AV25)-SUM(AW25:BB25)</f>
        <v>-83.306137375691407</v>
      </c>
      <c r="BE25" s="156">
        <f>BD25/SUM(AR25:BB25)*100</f>
        <v>-24.702323267043855</v>
      </c>
      <c r="BF25" s="214">
        <f>0.5*(SUM(AR25:AV25)+SUM(AW25:AZ25))*0.000001</f>
        <v>1.1694792247018116E-4</v>
      </c>
    </row>
    <row r="26" spans="1:88" s="196" customFormat="1" ht="12.75" x14ac:dyDescent="0.2">
      <c r="B26" s="45">
        <v>5</v>
      </c>
      <c r="C26" s="152" t="s">
        <v>110</v>
      </c>
      <c r="D26" s="152" t="s">
        <v>0</v>
      </c>
      <c r="E26" s="216">
        <v>42296.5</v>
      </c>
      <c r="F26" s="153">
        <v>1000</v>
      </c>
      <c r="G26" s="152">
        <v>0</v>
      </c>
      <c r="H26" s="152">
        <v>6.81</v>
      </c>
      <c r="I26" s="152">
        <v>113</v>
      </c>
      <c r="J26" s="152">
        <v>22.4</v>
      </c>
      <c r="K26" s="198">
        <v>20.8</v>
      </c>
      <c r="L26" s="224">
        <v>0.193</v>
      </c>
      <c r="M26" s="224">
        <v>1.9E-2</v>
      </c>
      <c r="N26" s="217">
        <v>5.47</v>
      </c>
      <c r="O26" s="204">
        <f>L26/N26</f>
        <v>3.528336380255942E-2</v>
      </c>
      <c r="P26" s="204">
        <f>L26/M26</f>
        <v>10.157894736842106</v>
      </c>
      <c r="Q26" s="202">
        <v>2.1539999999999999</v>
      </c>
      <c r="R26" s="202">
        <v>0.52610000000000001</v>
      </c>
      <c r="S26" s="202">
        <v>1.4730000000000001</v>
      </c>
      <c r="T26" s="202">
        <v>0.41570000000000001</v>
      </c>
      <c r="U26" s="202">
        <v>4.2438843587842845</v>
      </c>
      <c r="V26" s="309">
        <v>0.73244985673352425</v>
      </c>
      <c r="W26" s="202">
        <v>0.20947176684881602</v>
      </c>
      <c r="X26" s="309">
        <v>1.7522138245719154</v>
      </c>
      <c r="Y26" s="309">
        <v>0.45178623296157794</v>
      </c>
      <c r="Z26" s="309">
        <v>1.7256753514023231</v>
      </c>
      <c r="AA26" s="309"/>
      <c r="AB26" s="309"/>
      <c r="AC26" s="152">
        <v>9</v>
      </c>
      <c r="AD26" s="152">
        <v>6</v>
      </c>
      <c r="AE26" s="152">
        <v>2</v>
      </c>
      <c r="AF26" s="154">
        <v>3.42</v>
      </c>
      <c r="AG26" s="207">
        <f>10^-AF26</f>
        <v>3.8018939632056113E-4</v>
      </c>
      <c r="AH26" s="207">
        <v>3.1622776601683798E-2</v>
      </c>
      <c r="AI26" s="207">
        <f>+AG26*AH26</f>
        <v>1.2022644346174128E-5</v>
      </c>
      <c r="AJ26" s="207">
        <v>5.0118723362727197E-7</v>
      </c>
      <c r="AK26" s="207">
        <f>+((AJ26/(10^(-H26)))*AI26)*1000000</f>
        <v>38.904514499428053</v>
      </c>
      <c r="AL26" s="207">
        <v>5.6234132519034893E-11</v>
      </c>
      <c r="AM26" s="207">
        <f>+(((AJ26*AL26)/(10^(-H26)))*AI26)*1000000</f>
        <v>2.1877616239495518E-9</v>
      </c>
      <c r="AN26" s="208">
        <f>+AK26+2*AM26</f>
        <v>38.904514503803576</v>
      </c>
      <c r="AO26" s="155">
        <f>+(5.5*(N26))*(10^-(0.96+0.9*H26-0.039*((H26)^2)))/((10^-(0.96+0.9*H26-0.039*((H26)^2)))+(10^-H26))</f>
        <v>29.221939699359126</v>
      </c>
      <c r="AP26" s="155">
        <f>+(5.5*(N26))*(10^-(0.96+0.9*4.5-0.039*((4.5)^2)))/((10^-(0.96+0.9*4.5-0.039*((4.5)^2)))+(10^-4.5))</f>
        <v>19.726450479567493</v>
      </c>
      <c r="AQ26" s="209"/>
      <c r="AR26" s="210">
        <f>(10^-H26)*1000000</f>
        <v>0.15488166189124805</v>
      </c>
      <c r="AS26" s="211">
        <f>(Q26/40.078*1000)*2</f>
        <v>107.49039373222216</v>
      </c>
      <c r="AT26" s="211">
        <f>(R26/24.312*1000)*2</f>
        <v>43.279039157617639</v>
      </c>
      <c r="AU26" s="211">
        <f>(S26/22.99*1000)</f>
        <v>64.071335363201413</v>
      </c>
      <c r="AV26" s="212">
        <f>(T26/39.102*1000)</f>
        <v>10.631169761137539</v>
      </c>
      <c r="AW26" s="211">
        <f>(X26/96.064*1000)*2</f>
        <v>36.48013458885567</v>
      </c>
      <c r="AX26" s="212">
        <f>(Y26/62.0067*1000)</f>
        <v>7.2860873576819589</v>
      </c>
      <c r="AY26" s="211">
        <f>(Z26/35.453*1000)</f>
        <v>48.675016258210107</v>
      </c>
      <c r="AZ26" s="210">
        <f>(AA26/18.998)*1000</f>
        <v>0</v>
      </c>
      <c r="BA26" s="210">
        <f>+AD26/30.97*3</f>
        <v>0.58120762027768813</v>
      </c>
      <c r="BB26" s="211">
        <f>IF(H26&lt;5.5,0,I26-31.62+AR26)</f>
        <v>81.534881661891248</v>
      </c>
      <c r="BC26" s="213"/>
      <c r="BD26" s="211">
        <f>SUM(AR26:AV26)-SUM(AW26:BB26)</f>
        <v>51.069492189153323</v>
      </c>
      <c r="BE26" s="156">
        <f>BD26/SUM(AR26:BB26)*100</f>
        <v>12.761498063128871</v>
      </c>
      <c r="BF26" s="214">
        <f>0.5*(SUM(AR26:AV26)+SUM(AW26:AZ26))*0.000001</f>
        <v>1.5903402894040886E-4</v>
      </c>
    </row>
    <row r="27" spans="1:88" s="196" customFormat="1" ht="12.75" x14ac:dyDescent="0.2">
      <c r="A27" s="277"/>
      <c r="B27" s="278">
        <v>2</v>
      </c>
      <c r="C27" s="279" t="s">
        <v>110</v>
      </c>
      <c r="D27" s="280" t="s">
        <v>0</v>
      </c>
      <c r="E27" s="281">
        <v>42674.451388888891</v>
      </c>
      <c r="F27" s="282">
        <v>1000</v>
      </c>
      <c r="G27" s="282"/>
      <c r="H27" s="283">
        <v>7.45</v>
      </c>
      <c r="I27" s="282">
        <v>132</v>
      </c>
      <c r="J27" s="304">
        <v>267</v>
      </c>
      <c r="K27" s="284">
        <v>22.6</v>
      </c>
      <c r="L27" s="286">
        <v>0.17599999999999999</v>
      </c>
      <c r="M27" s="286">
        <v>2.1999999999999999E-2</v>
      </c>
      <c r="N27" s="283">
        <v>4.4169999999999998</v>
      </c>
      <c r="O27" s="287">
        <f>L27/N27</f>
        <v>3.9846049354765677E-2</v>
      </c>
      <c r="P27" s="287">
        <f>L27/M27</f>
        <v>8</v>
      </c>
      <c r="Q27" s="310">
        <v>2.1480000000000001</v>
      </c>
      <c r="R27" s="310">
        <v>1.6890000000000001</v>
      </c>
      <c r="S27" s="310">
        <v>1.4219999999999999</v>
      </c>
      <c r="T27" s="310">
        <v>0.44600000000000001</v>
      </c>
      <c r="U27" s="310"/>
      <c r="V27" s="310"/>
      <c r="W27" s="310">
        <v>14</v>
      </c>
      <c r="X27" s="300">
        <v>1.8542000000000001</v>
      </c>
      <c r="Y27" s="300">
        <v>0.625</v>
      </c>
      <c r="Z27" s="302">
        <v>1.8443000000000001</v>
      </c>
      <c r="AA27" s="311">
        <v>4.8899999999999999E-2</v>
      </c>
      <c r="AB27" s="302">
        <v>1.2361</v>
      </c>
      <c r="AC27" s="285">
        <v>12</v>
      </c>
      <c r="AD27" s="285">
        <v>10</v>
      </c>
      <c r="AE27" s="289">
        <f>AC27-AD27</f>
        <v>2</v>
      </c>
      <c r="AF27" s="290">
        <v>3.42</v>
      </c>
      <c r="AG27" s="291">
        <f>10^-AF27</f>
        <v>3.8018939632056113E-4</v>
      </c>
      <c r="AH27" s="291">
        <v>3.1622776601683798E-2</v>
      </c>
      <c r="AI27" s="291">
        <f>+AG27*AH27</f>
        <v>1.2022644346174128E-5</v>
      </c>
      <c r="AJ27" s="291">
        <v>5.0118723362727197E-7</v>
      </c>
      <c r="AK27" s="291">
        <f>+((AJ27/(10^(-H27)))*AI27)*1000000</f>
        <v>169.82436524617489</v>
      </c>
      <c r="AL27" s="291">
        <v>5.6234132519034893E-11</v>
      </c>
      <c r="AM27" s="291">
        <f>+(((AJ27*AL27)/(10^(-H27)))*AI27)*1000000</f>
        <v>9.5499258602143817E-9</v>
      </c>
      <c r="AN27" s="292">
        <f>+AK27+2*AM27</f>
        <v>169.82436526527474</v>
      </c>
      <c r="AO27" s="293">
        <f>+(5.5*(N27))*(10^-(0.96+0.9*H27-0.039*((H27)^2)))/((10^-(0.96+0.9*H27-0.039*((H27)^2)))+(10^-H27))</f>
        <v>24.023699723201592</v>
      </c>
      <c r="AP27" s="293">
        <f>+(5.5*(N27))*(10^-(0.96+0.9*4.5-0.039*((4.5)^2)))/((10^-(0.96+0.9*4.5-0.039*((4.5)^2)))+(10^-4.5))</f>
        <v>15.929018604798832</v>
      </c>
      <c r="AQ27" s="294"/>
      <c r="AR27" s="295">
        <f>(10^-H27)*1000000</f>
        <v>3.5481338923357426E-2</v>
      </c>
      <c r="AS27" s="296">
        <f>(Q27/40.078*1000)*2</f>
        <v>107.1909775936923</v>
      </c>
      <c r="AT27" s="296">
        <f>(R27/24.312*1000)*2</f>
        <v>138.94373149062193</v>
      </c>
      <c r="AU27" s="296">
        <f>(S27/22.99*1000)</f>
        <v>61.85297955632884</v>
      </c>
      <c r="AV27" s="297">
        <f>(T27/39.102*1000)</f>
        <v>11.406066185872847</v>
      </c>
      <c r="AW27" s="296">
        <f>(X27/96.064*1000)*2</f>
        <v>38.603431045969359</v>
      </c>
      <c r="AX27" s="297">
        <f>(Y27/62.0067*1000)</f>
        <v>10.079555918957146</v>
      </c>
      <c r="AY27" s="296">
        <f>(Z27/35.453*1000)</f>
        <v>52.020985530138489</v>
      </c>
      <c r="AZ27" s="295">
        <f>(AA27/18.998)*1000</f>
        <v>2.5739551531740181</v>
      </c>
      <c r="BA27" s="295">
        <f>+AD27/30.97*3</f>
        <v>0.96867936712948011</v>
      </c>
      <c r="BB27" s="296">
        <f>IF(H27&lt;5.5,0,I27-31.62+AR27)</f>
        <v>100.41548133892336</v>
      </c>
      <c r="BC27" s="298"/>
      <c r="BD27" s="296">
        <f>SUM(AR27:AV27)-SUM(AW27:BB27)</f>
        <v>114.76714781114748</v>
      </c>
      <c r="BE27" s="296">
        <f>BD27/SUM(AR27:BB27)*100</f>
        <v>21.898310932034267</v>
      </c>
      <c r="BF27" s="299">
        <f>0.5*(SUM(AR27:AV27)+SUM(AW27:AZ27))*0.000001</f>
        <v>2.1135358190683916E-4</v>
      </c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7"/>
      <c r="CH27" s="277"/>
      <c r="CI27" s="277"/>
      <c r="CJ27" s="277"/>
    </row>
    <row r="28" spans="1:88" s="196" customFormat="1" ht="12.75" x14ac:dyDescent="0.2">
      <c r="A28" s="277"/>
      <c r="B28" s="278"/>
      <c r="C28" s="279"/>
      <c r="D28" s="280"/>
      <c r="E28" s="281"/>
      <c r="F28" s="282"/>
      <c r="G28" s="282"/>
      <c r="H28" s="283"/>
      <c r="I28" s="282"/>
      <c r="J28" s="282"/>
      <c r="K28" s="284"/>
      <c r="L28" s="286"/>
      <c r="M28" s="286"/>
      <c r="N28" s="283"/>
      <c r="O28" s="287"/>
      <c r="P28" s="287"/>
      <c r="Q28" s="310"/>
      <c r="R28" s="310"/>
      <c r="S28" s="310"/>
      <c r="T28" s="310"/>
      <c r="U28" s="310"/>
      <c r="V28" s="310"/>
      <c r="W28" s="310"/>
      <c r="X28" s="300"/>
      <c r="Y28" s="300"/>
      <c r="Z28" s="302"/>
      <c r="AA28" s="311"/>
      <c r="AB28" s="302"/>
      <c r="AC28" s="285"/>
      <c r="AD28" s="285"/>
      <c r="AE28" s="289"/>
      <c r="AF28" s="290"/>
      <c r="AG28" s="291"/>
      <c r="AH28" s="291"/>
      <c r="AI28" s="291"/>
      <c r="AJ28" s="291"/>
      <c r="AK28" s="291"/>
      <c r="AL28" s="291"/>
      <c r="AM28" s="291"/>
      <c r="AN28" s="292"/>
      <c r="AO28" s="293"/>
      <c r="AP28" s="293"/>
      <c r="AQ28" s="294"/>
      <c r="AR28" s="295"/>
      <c r="AS28" s="296"/>
      <c r="AT28" s="296"/>
      <c r="AU28" s="296"/>
      <c r="AV28" s="297"/>
      <c r="AW28" s="296"/>
      <c r="AX28" s="297"/>
      <c r="AY28" s="296"/>
      <c r="AZ28" s="295"/>
      <c r="BA28" s="295"/>
      <c r="BB28" s="296"/>
      <c r="BC28" s="298"/>
      <c r="BD28" s="296"/>
      <c r="BE28" s="296"/>
      <c r="BF28" s="299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7"/>
      <c r="BR28" s="277"/>
      <c r="BS28" s="277"/>
      <c r="BT28" s="277"/>
      <c r="BU28" s="277"/>
      <c r="BV28" s="277"/>
      <c r="BW28" s="277"/>
      <c r="BX28" s="277"/>
      <c r="BY28" s="277"/>
      <c r="BZ28" s="277"/>
      <c r="CA28" s="277"/>
      <c r="CB28" s="277"/>
      <c r="CC28" s="277"/>
      <c r="CD28" s="277"/>
      <c r="CE28" s="277"/>
      <c r="CF28" s="277"/>
      <c r="CG28" s="277"/>
      <c r="CH28" s="277"/>
      <c r="CI28" s="277"/>
      <c r="CJ28" s="277"/>
    </row>
    <row r="29" spans="1:88" s="196" customFormat="1" ht="12.75" x14ac:dyDescent="0.2">
      <c r="B29" s="45">
        <v>11</v>
      </c>
      <c r="C29" s="152" t="s">
        <v>111</v>
      </c>
      <c r="D29" s="152" t="s">
        <v>22</v>
      </c>
      <c r="E29" s="197" t="s">
        <v>158</v>
      </c>
      <c r="F29" s="153">
        <v>2000</v>
      </c>
      <c r="G29" s="198"/>
      <c r="H29" s="199">
        <v>7.8</v>
      </c>
      <c r="I29" s="200">
        <v>1532.5389221556889</v>
      </c>
      <c r="J29" s="221">
        <v>213</v>
      </c>
      <c r="K29" s="202">
        <v>20.8</v>
      </c>
      <c r="L29" s="157">
        <v>0.16200000000000001</v>
      </c>
      <c r="M29" s="157">
        <v>1.0999999999999999E-2</v>
      </c>
      <c r="N29" s="203">
        <v>7.7190000000000003</v>
      </c>
      <c r="O29" s="204">
        <f>L29/N29</f>
        <v>2.0987174504469491E-2</v>
      </c>
      <c r="P29" s="204">
        <f>L29/M29</f>
        <v>14.727272727272728</v>
      </c>
      <c r="Q29" s="305">
        <v>31.452238707786567</v>
      </c>
      <c r="R29" s="305">
        <v>4.730521781645578</v>
      </c>
      <c r="S29" s="305">
        <v>15.826347265975727</v>
      </c>
      <c r="T29" s="305">
        <v>2.4746781104911828</v>
      </c>
      <c r="U29" s="202">
        <v>1.5259451445515197</v>
      </c>
      <c r="V29" s="306">
        <v>2.011818426000537</v>
      </c>
      <c r="W29" s="202">
        <v>0.10630164913174851</v>
      </c>
      <c r="X29" s="306">
        <v>7.1913954320484859</v>
      </c>
      <c r="Y29" s="306">
        <v>0.85435707095312641</v>
      </c>
      <c r="Z29" s="307">
        <v>13.277731486364145</v>
      </c>
      <c r="AA29" s="306">
        <v>6.8291414617115187E-2</v>
      </c>
      <c r="AB29" s="306">
        <v>0.69</v>
      </c>
      <c r="AC29" s="222">
        <v>2.2400000000000002</v>
      </c>
      <c r="AD29" s="223">
        <v>0.13419853651801641</v>
      </c>
      <c r="AE29" s="206">
        <f>AC29-AD29</f>
        <v>2.1058014634819839</v>
      </c>
      <c r="AF29" s="154">
        <v>3.42</v>
      </c>
      <c r="AG29" s="207">
        <f>10^-AF29</f>
        <v>3.8018939632056113E-4</v>
      </c>
      <c r="AH29" s="207">
        <v>3.1622776601683798E-2</v>
      </c>
      <c r="AI29" s="207">
        <f>+AG29*AH29</f>
        <v>1.2022644346174128E-5</v>
      </c>
      <c r="AJ29" s="207">
        <v>5.0118723362727197E-7</v>
      </c>
      <c r="AK29" s="207">
        <f>+((AJ29/(10^(-H29)))*AI29)*1000000</f>
        <v>380.189396320561</v>
      </c>
      <c r="AL29" s="207">
        <v>5.6234132519034893E-11</v>
      </c>
      <c r="AM29" s="207">
        <f>+(((AJ29*AL29)/(10^(-H29)))*AI29)*1000000</f>
        <v>2.1379620895022302E-8</v>
      </c>
      <c r="AN29" s="208">
        <f>+AK29+2*AM29</f>
        <v>380.18939636332027</v>
      </c>
      <c r="AO29" s="155">
        <f>+(5.5*(N29))*(10^-(0.96+0.9*H29-0.039*((H29)^2)))/((10^-(0.96+0.9*H29-0.039*((H29)^2)))+(10^-H29))</f>
        <v>42.18386350946912</v>
      </c>
      <c r="AP29" s="155">
        <f>+(5.5*(N29))*(10^-(0.96+0.9*4.5-0.039*((4.5)^2)))/((10^-(0.96+0.9*4.5-0.039*((4.5)^2)))+(10^-4.5))</f>
        <v>27.837014854073402</v>
      </c>
      <c r="AQ29" s="209"/>
      <c r="AR29" s="210">
        <f>(10^-H29)*1000000</f>
        <v>1.5848931924611134E-2</v>
      </c>
      <c r="AS29" s="211">
        <f>(Q29/40.078*1000)*2</f>
        <v>1569.5513103341766</v>
      </c>
      <c r="AT29" s="211">
        <f>(R29/24.312*1000)*2</f>
        <v>389.151183090291</v>
      </c>
      <c r="AU29" s="211">
        <f>(S29/22.99*1000)</f>
        <v>688.4013599815454</v>
      </c>
      <c r="AV29" s="212">
        <f>(T29/39.102*1000)</f>
        <v>63.287763042585624</v>
      </c>
      <c r="AW29" s="211">
        <f>(X29/96.064*1000)*2</f>
        <v>149.72092421819798</v>
      </c>
      <c r="AX29" s="212">
        <f>(Y29/62.0067*1000)</f>
        <v>13.778463794285559</v>
      </c>
      <c r="AY29" s="211">
        <f>(Z29/35.453*1000)</f>
        <v>374.51644392192884</v>
      </c>
      <c r="AZ29" s="210">
        <f>(AA29/18.998)*1000</f>
        <v>3.5946633654655851</v>
      </c>
      <c r="BA29" s="210">
        <f>+AD29/30.97*3</f>
        <v>1.2999535342397457E-2</v>
      </c>
      <c r="BB29" s="211">
        <f>IF(H29&lt;5.5,0,I29-31.62+AR29)</f>
        <v>1500.9347710876136</v>
      </c>
      <c r="BC29" s="213"/>
      <c r="BD29" s="211">
        <f>SUM(AR29:AV29)-SUM(AW29:BB29)</f>
        <v>667.84919945768934</v>
      </c>
      <c r="BE29" s="156">
        <f>BD29/SUM(AR29:BB29)*100</f>
        <v>14.05121006993989</v>
      </c>
      <c r="BF29" s="214">
        <f>0.5*(SUM(AR29:AV29)+SUM(AW29:AZ29))*0.000001</f>
        <v>1.6260089803402005E-3</v>
      </c>
    </row>
    <row r="30" spans="1:88" s="196" customFormat="1" ht="12.75" customHeight="1" x14ac:dyDescent="0.2">
      <c r="B30" s="45">
        <v>10</v>
      </c>
      <c r="C30" s="152" t="s">
        <v>111</v>
      </c>
      <c r="D30" s="152" t="s">
        <v>22</v>
      </c>
      <c r="E30" s="197" t="s">
        <v>166</v>
      </c>
      <c r="F30" s="153">
        <v>2000</v>
      </c>
      <c r="G30" s="157">
        <v>1.4000000000000123</v>
      </c>
      <c r="H30" s="219">
        <v>8.27</v>
      </c>
      <c r="I30" s="200">
        <v>1753.1808087307006</v>
      </c>
      <c r="J30" s="201">
        <v>195</v>
      </c>
      <c r="K30" s="202">
        <v>21.4</v>
      </c>
      <c r="L30" s="215">
        <v>0.156</v>
      </c>
      <c r="M30" s="157">
        <v>1.0999999999999999E-2</v>
      </c>
      <c r="N30" s="204">
        <v>6.157</v>
      </c>
      <c r="O30" s="204">
        <f>L30/N30</f>
        <v>2.5337014779925289E-2</v>
      </c>
      <c r="P30" s="204">
        <f>L30/M30</f>
        <v>14.181818181818183</v>
      </c>
      <c r="Q30" s="202">
        <v>23.033000000000001</v>
      </c>
      <c r="R30" s="202">
        <v>3.7503299999999999</v>
      </c>
      <c r="S30" s="202">
        <v>13.007199999999999</v>
      </c>
      <c r="T30" s="202">
        <v>1.17825</v>
      </c>
      <c r="U30" s="308">
        <v>0</v>
      </c>
      <c r="V30" s="308">
        <v>0</v>
      </c>
      <c r="W30" s="308">
        <v>0</v>
      </c>
      <c r="X30" s="309">
        <v>8.0901061291385137</v>
      </c>
      <c r="Y30" s="315">
        <v>0.2</v>
      </c>
      <c r="Z30" s="309">
        <f>1.44364017998631*10</f>
        <v>14.436401799863098</v>
      </c>
      <c r="AA30" s="309">
        <v>8.110153478837441E-2</v>
      </c>
      <c r="AB30" s="309">
        <v>0.42801908918245646</v>
      </c>
      <c r="AC30" s="196">
        <v>45</v>
      </c>
      <c r="AD30" s="196">
        <v>43</v>
      </c>
      <c r="AE30" s="196">
        <v>2</v>
      </c>
      <c r="AF30" s="154">
        <v>3.42</v>
      </c>
      <c r="AG30" s="207">
        <f>10^-AF30</f>
        <v>3.8018939632056113E-4</v>
      </c>
      <c r="AH30" s="207">
        <v>3.1622776601683798E-2</v>
      </c>
      <c r="AI30" s="207">
        <f>+AG30*AH30</f>
        <v>1.2022644346174128E-5</v>
      </c>
      <c r="AJ30" s="207">
        <v>5.0118723362727197E-7</v>
      </c>
      <c r="AK30" s="207">
        <f>+((AJ30/(10^(-H30)))*AI30)*1000000</f>
        <v>1122.0184543019618</v>
      </c>
      <c r="AL30" s="207">
        <v>5.6234132519034893E-11</v>
      </c>
      <c r="AM30" s="207">
        <f>+(((AJ30*AL30)/(10^(-H30)))*AI30)*1000000</f>
        <v>6.3095734448019204E-8</v>
      </c>
      <c r="AN30" s="208">
        <f>+AK30+2*AM30</f>
        <v>1122.0184544281533</v>
      </c>
      <c r="AO30" s="155">
        <f>+(5.5*(N30))*(10^-(0.96+0.9*H30-0.039*((H30)^2)))/((10^-(0.96+0.9*H30-0.039*((H30)^2)))+(10^-H30))</f>
        <v>33.764839890150554</v>
      </c>
      <c r="AP30" s="155">
        <f>+(5.5*(N30))*(10^-(0.96+0.9*4.5-0.039*((4.5)^2)))/((10^-(0.96+0.9*4.5-0.039*((4.5)^2)))+(10^-4.5))</f>
        <v>22.203977258262718</v>
      </c>
      <c r="AQ30" s="209"/>
      <c r="AR30" s="210">
        <f>(10^-H30)*1000000</f>
        <v>5.3703179637025322E-3</v>
      </c>
      <c r="AS30" s="211">
        <f>(Q30/40.078*1000)*2</f>
        <v>1149.4086531264034</v>
      </c>
      <c r="AT30" s="211">
        <f>(R30/24.312*1000)*2</f>
        <v>308.51678183613029</v>
      </c>
      <c r="AU30" s="211">
        <f>(S30/22.99*1000)</f>
        <v>565.77642453240537</v>
      </c>
      <c r="AV30" s="212">
        <f>(T30/39.102*1000)</f>
        <v>30.132729783642784</v>
      </c>
      <c r="AW30" s="211">
        <f>(X30/96.064*1000)*2</f>
        <v>168.43158996374322</v>
      </c>
      <c r="AX30" s="212">
        <f>(Y30/62.0067*1000)</f>
        <v>3.2254578940662864</v>
      </c>
      <c r="AY30" s="211">
        <f>(Z30/35.453*1000)</f>
        <v>407.19831325594726</v>
      </c>
      <c r="AZ30" s="210">
        <f>(AA30/18.998)*1000</f>
        <v>4.268951194250679</v>
      </c>
      <c r="BA30" s="210">
        <f>+AD30/30.97*3</f>
        <v>4.1653212786567648</v>
      </c>
      <c r="BB30" s="211">
        <f>IF(H30&lt;5.5,0,I30-31.62+AR30)</f>
        <v>1721.5661790486645</v>
      </c>
      <c r="BC30" s="213"/>
      <c r="BD30" s="211">
        <f>SUM(AR30:AV30)-SUM(AW30:BB30)</f>
        <v>-255.01585303878301</v>
      </c>
      <c r="BE30" s="156">
        <f>BD30/SUM(AR30:BB30)*100</f>
        <v>-5.8453732818578272</v>
      </c>
      <c r="BF30" s="214">
        <f>0.5*(SUM(AR30:AV30)+SUM(AW30:AZ30))*0.000001</f>
        <v>1.3184821359522765E-3</v>
      </c>
    </row>
    <row r="31" spans="1:88" s="196" customFormat="1" ht="12.75" customHeight="1" x14ac:dyDescent="0.2">
      <c r="B31" s="45">
        <v>4</v>
      </c>
      <c r="C31" s="152" t="s">
        <v>111</v>
      </c>
      <c r="D31" s="152" t="s">
        <v>22</v>
      </c>
      <c r="E31" s="216">
        <v>42295.5</v>
      </c>
      <c r="F31" s="153">
        <v>1000</v>
      </c>
      <c r="G31" s="152">
        <v>1.19</v>
      </c>
      <c r="H31" s="152">
        <v>7.83</v>
      </c>
      <c r="I31" s="152">
        <v>1780</v>
      </c>
      <c r="J31" s="152">
        <v>216</v>
      </c>
      <c r="K31" s="198">
        <v>20.8</v>
      </c>
      <c r="L31" s="224">
        <v>0.188</v>
      </c>
      <c r="M31" s="224">
        <v>1.2E-2</v>
      </c>
      <c r="N31" s="217">
        <v>8.85</v>
      </c>
      <c r="O31" s="204">
        <f>L31/N31</f>
        <v>2.1242937853107345E-2</v>
      </c>
      <c r="P31" s="204">
        <f>L31/M31</f>
        <v>15.666666666666666</v>
      </c>
      <c r="Q31" s="202">
        <v>22.724</v>
      </c>
      <c r="R31" s="202">
        <v>3.4950000000000001</v>
      </c>
      <c r="S31" s="202">
        <v>9.702</v>
      </c>
      <c r="T31" s="202">
        <v>1.7110000000000001</v>
      </c>
      <c r="U31" s="202">
        <v>0.95997034840622675</v>
      </c>
      <c r="V31" s="309">
        <v>0.45845272206303722</v>
      </c>
      <c r="W31" s="202">
        <v>0.19125683060109291</v>
      </c>
      <c r="X31" s="309">
        <v>7.3425950311967636</v>
      </c>
      <c r="Y31" s="316">
        <v>0.05</v>
      </c>
      <c r="Z31" s="309">
        <v>11.945445353825059</v>
      </c>
      <c r="AA31" s="309"/>
      <c r="AB31" s="309"/>
      <c r="AC31" s="152">
        <v>20</v>
      </c>
      <c r="AD31" s="152">
        <v>7</v>
      </c>
      <c r="AE31" s="152">
        <v>3</v>
      </c>
      <c r="AF31" s="154">
        <v>3.42</v>
      </c>
      <c r="AG31" s="207">
        <f>10^-AF31</f>
        <v>3.8018939632056113E-4</v>
      </c>
      <c r="AH31" s="207">
        <v>3.1622776601683798E-2</v>
      </c>
      <c r="AI31" s="207">
        <f>+AG31*AH31</f>
        <v>1.2022644346174128E-5</v>
      </c>
      <c r="AJ31" s="207">
        <v>5.0118723362727197E-7</v>
      </c>
      <c r="AK31" s="207">
        <f>+((AJ31/(10^(-H31)))*AI31)*1000000</f>
        <v>407.3802778041138</v>
      </c>
      <c r="AL31" s="207">
        <v>5.6234132519034893E-11</v>
      </c>
      <c r="AM31" s="207">
        <f>+(((AJ31*AL31)/(10^(-H31)))*AI31)*1000000</f>
        <v>2.2908676527677779E-8</v>
      </c>
      <c r="AN31" s="208">
        <f>+AK31+2*AM31</f>
        <v>407.38027784993113</v>
      </c>
      <c r="AO31" s="155">
        <f>+(5.5*(N31))*(10^-(0.96+0.9*H31-0.039*((H31)^2)))/((10^-(0.96+0.9*H31-0.039*((H31)^2)))+(10^-H31))</f>
        <v>48.379461591114882</v>
      </c>
      <c r="AP31" s="155">
        <f>+(5.5*(N31))*(10^-(0.96+0.9*4.5-0.039*((4.5)^2)))/((10^-(0.96+0.9*4.5-0.039*((4.5)^2)))+(10^-4.5))</f>
        <v>31.915737978824918</v>
      </c>
      <c r="AQ31" s="209"/>
      <c r="AR31" s="210">
        <f>(10^-H31)*1000000</f>
        <v>1.4791083881682026E-2</v>
      </c>
      <c r="AS31" s="211">
        <f>(Q31/40.078*1000)*2</f>
        <v>1133.9887219921152</v>
      </c>
      <c r="AT31" s="211">
        <f>(R31/24.312*1000)*2</f>
        <v>287.5123395853899</v>
      </c>
      <c r="AU31" s="211">
        <f>(S31/22.99*1000)</f>
        <v>422.00956937799043</v>
      </c>
      <c r="AV31" s="212">
        <f>(T31/39.102*1000)</f>
        <v>43.757352565086194</v>
      </c>
      <c r="AW31" s="211">
        <f>(X31/96.064*1000)*2</f>
        <v>152.86881727175142</v>
      </c>
      <c r="AX31" s="212">
        <f>(Y31/62.0067*1000)</f>
        <v>0.80636447351657159</v>
      </c>
      <c r="AY31" s="211">
        <f>(Z31/35.453*1000)</f>
        <v>336.93750469142407</v>
      </c>
      <c r="AZ31" s="210">
        <f>(AA31/18.998)*1000</f>
        <v>0</v>
      </c>
      <c r="BA31" s="210">
        <f>+AD31/30.97*3</f>
        <v>0.67807555699063615</v>
      </c>
      <c r="BB31" s="211">
        <f>IF(H31&lt;5.5,0,I31-31.62+AR31)</f>
        <v>1748.3947910838817</v>
      </c>
      <c r="BC31" s="213"/>
      <c r="BD31" s="211">
        <f>SUM(AR31:AV31)-SUM(AW31:BB31)</f>
        <v>-352.40277847310085</v>
      </c>
      <c r="BE31" s="156">
        <f>BD31/SUM(AR31:BB31)*100</f>
        <v>-8.5390230913410718</v>
      </c>
      <c r="BF31" s="214">
        <f>0.5*(SUM(AR31:AV31)+SUM(AW31:AZ31))*0.000001</f>
        <v>1.1889477305205777E-3</v>
      </c>
    </row>
    <row r="32" spans="1:88" s="196" customFormat="1" ht="12.75" x14ac:dyDescent="0.2">
      <c r="A32" s="277"/>
      <c r="B32" s="278">
        <v>6</v>
      </c>
      <c r="C32" s="279" t="s">
        <v>111</v>
      </c>
      <c r="D32" s="280" t="s">
        <v>22</v>
      </c>
      <c r="E32" s="281">
        <v>42674.625</v>
      </c>
      <c r="F32" s="282">
        <v>1000</v>
      </c>
      <c r="G32" s="288"/>
      <c r="H32" s="283">
        <v>7.27</v>
      </c>
      <c r="I32" s="282">
        <v>1774</v>
      </c>
      <c r="J32" s="304">
        <v>161.4</v>
      </c>
      <c r="K32" s="284">
        <v>22.1</v>
      </c>
      <c r="L32" s="286">
        <v>0.182</v>
      </c>
      <c r="M32" s="286">
        <v>1.4999999999999999E-2</v>
      </c>
      <c r="N32" s="283">
        <v>7.7439999999999998</v>
      </c>
      <c r="O32" s="287">
        <f>L32/N32</f>
        <v>2.3502066115702481E-2</v>
      </c>
      <c r="P32" s="287">
        <f>L32/M32</f>
        <v>12.133333333333333</v>
      </c>
      <c r="Q32" s="310">
        <v>25.934999999999999</v>
      </c>
      <c r="R32" s="310">
        <v>3.7250000000000001</v>
      </c>
      <c r="S32" s="310">
        <v>10.303000000000001</v>
      </c>
      <c r="T32" s="310">
        <v>1.85</v>
      </c>
      <c r="U32" s="313"/>
      <c r="V32" s="313"/>
      <c r="W32" s="310">
        <v>13</v>
      </c>
      <c r="X32" s="300">
        <v>7.8555999999999999</v>
      </c>
      <c r="Y32" s="300"/>
      <c r="Z32" s="302">
        <v>12.942299999999999</v>
      </c>
      <c r="AA32" s="311">
        <v>3.9699999999999999E-2</v>
      </c>
      <c r="AB32" s="312"/>
      <c r="AC32" s="285">
        <v>14</v>
      </c>
      <c r="AD32" s="285">
        <v>9</v>
      </c>
      <c r="AE32" s="289">
        <f>AC32-AD32</f>
        <v>5</v>
      </c>
      <c r="AF32" s="290">
        <v>3.42</v>
      </c>
      <c r="AG32" s="291">
        <f>10^-AF32</f>
        <v>3.8018939632056113E-4</v>
      </c>
      <c r="AH32" s="291">
        <v>3.1622776601683798E-2</v>
      </c>
      <c r="AI32" s="291">
        <f>+AG32*AH32</f>
        <v>1.2022644346174128E-5</v>
      </c>
      <c r="AJ32" s="291">
        <v>5.0118723362727197E-7</v>
      </c>
      <c r="AK32" s="291">
        <f>+((AJ32/(10^(-H32)))*AI32)*1000000</f>
        <v>112.20184543019644</v>
      </c>
      <c r="AL32" s="291">
        <v>5.6234132519034893E-11</v>
      </c>
      <c r="AM32" s="291">
        <f>+(((AJ32*AL32)/(10^(-H32)))*AI32)*1000000</f>
        <v>6.3095734448019354E-9</v>
      </c>
      <c r="AN32" s="292">
        <f>+AK32+2*AM32</f>
        <v>112.2018454428156</v>
      </c>
      <c r="AO32" s="293">
        <f>+(5.5*(N32))*(10^-(0.96+0.9*H32-0.039*((H32)^2)))/((10^-(0.96+0.9*H32-0.039*((H32)^2)))+(10^-H32))</f>
        <v>41.968749084840731</v>
      </c>
      <c r="AP32" s="293">
        <f>+(5.5*(N32))*(10^-(0.96+0.9*4.5-0.039*((4.5)^2)))/((10^-(0.96+0.9*4.5-0.039*((4.5)^2)))+(10^-4.5))</f>
        <v>27.927172305990979</v>
      </c>
      <c r="AQ32" s="294"/>
      <c r="AR32" s="295">
        <f>(10^-H32)*1000000</f>
        <v>5.3703179637025193E-2</v>
      </c>
      <c r="AS32" s="296">
        <f>(Q32/40.078*1000)*2</f>
        <v>1294.2262587953487</v>
      </c>
      <c r="AT32" s="296">
        <f>(R32/24.312*1000)*2</f>
        <v>306.43303718328394</v>
      </c>
      <c r="AU32" s="296">
        <f>(S32/22.99*1000)</f>
        <v>448.15137016093956</v>
      </c>
      <c r="AV32" s="297">
        <f>(T32/39.102*1000)</f>
        <v>47.312157945885126</v>
      </c>
      <c r="AW32" s="296">
        <f>(X32/96.064*1000)*2</f>
        <v>163.54930046635576</v>
      </c>
      <c r="AX32" s="297">
        <f>(Y32/62.0067*1000)</f>
        <v>0</v>
      </c>
      <c r="AY32" s="296">
        <f>(Z32/35.453*1000)</f>
        <v>365.05514342932895</v>
      </c>
      <c r="AZ32" s="295">
        <f>(AA32/18.998)*1000</f>
        <v>2.0896936519633647</v>
      </c>
      <c r="BA32" s="295">
        <f>+AD32/30.97*3</f>
        <v>0.8718114304165322</v>
      </c>
      <c r="BB32" s="296">
        <f>IF(H32&lt;5.5,0,I32-31.62+AR32)</f>
        <v>1742.4337031796372</v>
      </c>
      <c r="BC32" s="298"/>
      <c r="BD32" s="296">
        <f>SUM(AR32:AV32)-SUM(AW32:BB32)</f>
        <v>-177.82312489260721</v>
      </c>
      <c r="BE32" s="296">
        <f>BD32/SUM(AR32:BB32)*100</f>
        <v>-4.0690150143121624</v>
      </c>
      <c r="BF32" s="299">
        <f>0.5*(SUM(AR32:AV32)+SUM(AW32:AZ32))*0.000001</f>
        <v>1.3134353324063713E-3</v>
      </c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77"/>
      <c r="BT32" s="277"/>
      <c r="BU32" s="277"/>
      <c r="BV32" s="277"/>
      <c r="BW32" s="277"/>
      <c r="BX32" s="277"/>
      <c r="BY32" s="277"/>
      <c r="BZ32" s="277"/>
      <c r="CA32" s="277"/>
      <c r="CB32" s="277"/>
      <c r="CC32" s="277"/>
      <c r="CD32" s="277"/>
      <c r="CE32" s="277"/>
      <c r="CF32" s="277"/>
      <c r="CG32" s="277"/>
      <c r="CH32" s="277"/>
      <c r="CI32" s="277"/>
      <c r="CJ32" s="277"/>
    </row>
    <row r="33" spans="1:88" s="196" customFormat="1" ht="12.75" x14ac:dyDescent="0.2">
      <c r="A33" s="277"/>
      <c r="B33" s="278"/>
      <c r="C33" s="279"/>
      <c r="D33" s="280"/>
      <c r="E33" s="281"/>
      <c r="F33" s="282"/>
      <c r="G33" s="288"/>
      <c r="H33" s="283"/>
      <c r="I33" s="282"/>
      <c r="J33" s="282"/>
      <c r="K33" s="284"/>
      <c r="L33" s="286"/>
      <c r="M33" s="286"/>
      <c r="N33" s="283"/>
      <c r="O33" s="287"/>
      <c r="P33" s="287"/>
      <c r="Q33" s="310"/>
      <c r="R33" s="310"/>
      <c r="S33" s="310"/>
      <c r="T33" s="310"/>
      <c r="U33" s="313"/>
      <c r="V33" s="313"/>
      <c r="W33" s="310"/>
      <c r="X33" s="300"/>
      <c r="Y33" s="300"/>
      <c r="Z33" s="302"/>
      <c r="AA33" s="311"/>
      <c r="AB33" s="312"/>
      <c r="AC33" s="285"/>
      <c r="AD33" s="285"/>
      <c r="AE33" s="289"/>
      <c r="AF33" s="290"/>
      <c r="AG33" s="291"/>
      <c r="AH33" s="291"/>
      <c r="AI33" s="291"/>
      <c r="AJ33" s="291"/>
      <c r="AK33" s="291"/>
      <c r="AL33" s="291"/>
      <c r="AM33" s="291"/>
      <c r="AN33" s="292"/>
      <c r="AO33" s="293"/>
      <c r="AP33" s="293"/>
      <c r="AQ33" s="294"/>
      <c r="AR33" s="295"/>
      <c r="AS33" s="296"/>
      <c r="AT33" s="296"/>
      <c r="AU33" s="296"/>
      <c r="AV33" s="297"/>
      <c r="AW33" s="296"/>
      <c r="AX33" s="297"/>
      <c r="AY33" s="296"/>
      <c r="AZ33" s="295"/>
      <c r="BA33" s="295"/>
      <c r="BB33" s="296"/>
      <c r="BC33" s="298"/>
      <c r="BD33" s="296"/>
      <c r="BE33" s="296"/>
      <c r="BF33" s="299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277"/>
      <c r="BR33" s="277"/>
      <c r="BS33" s="277"/>
      <c r="BT33" s="277"/>
      <c r="BU33" s="277"/>
      <c r="BV33" s="277"/>
      <c r="BW33" s="277"/>
      <c r="BX33" s="277"/>
      <c r="BY33" s="277"/>
      <c r="BZ33" s="277"/>
      <c r="CA33" s="277"/>
      <c r="CB33" s="277"/>
      <c r="CC33" s="277"/>
      <c r="CD33" s="277"/>
      <c r="CE33" s="277"/>
      <c r="CF33" s="277"/>
      <c r="CG33" s="277"/>
      <c r="CH33" s="277"/>
      <c r="CI33" s="277"/>
      <c r="CJ33" s="277"/>
    </row>
    <row r="34" spans="1:88" s="196" customFormat="1" ht="12.75" x14ac:dyDescent="0.2">
      <c r="B34" s="45">
        <v>7</v>
      </c>
      <c r="C34" s="152" t="s">
        <v>107</v>
      </c>
      <c r="D34" s="152" t="s">
        <v>22</v>
      </c>
      <c r="E34" s="197" t="s">
        <v>156</v>
      </c>
      <c r="F34" s="153">
        <v>1000</v>
      </c>
      <c r="G34" s="198"/>
      <c r="H34" s="199">
        <v>6.25</v>
      </c>
      <c r="I34" s="200">
        <v>221.78162075206114</v>
      </c>
      <c r="J34" s="201">
        <v>58.1</v>
      </c>
      <c r="K34" s="202">
        <v>20.6</v>
      </c>
      <c r="L34" s="157">
        <v>0.33700000000000002</v>
      </c>
      <c r="M34" s="157">
        <v>4.3999999999999997E-2</v>
      </c>
      <c r="N34" s="203">
        <v>7.5890000000000004</v>
      </c>
      <c r="O34" s="204">
        <f>L34/N34</f>
        <v>4.4406377651864538E-2</v>
      </c>
      <c r="P34" s="204">
        <f>L34/M34</f>
        <v>7.6590909090909101</v>
      </c>
      <c r="Q34" s="305">
        <v>5.448273939247569</v>
      </c>
      <c r="R34" s="305">
        <v>0.78639222705961187</v>
      </c>
      <c r="S34" s="305">
        <v>7.6582421359832109</v>
      </c>
      <c r="T34" s="305">
        <v>0.79467869249980483</v>
      </c>
      <c r="U34" s="202">
        <v>7.6189770200148255</v>
      </c>
      <c r="V34" s="306">
        <v>8.7200286507296987</v>
      </c>
      <c r="W34" s="202">
        <v>0.76103971749972699</v>
      </c>
      <c r="X34" s="306">
        <v>2.6692223022218862</v>
      </c>
      <c r="Y34" s="306">
        <v>0.76715560702184615</v>
      </c>
      <c r="Z34" s="307">
        <v>10.959552036459437</v>
      </c>
      <c r="AA34" s="306">
        <v>6.2677259215906833E-2</v>
      </c>
      <c r="AB34" s="306"/>
      <c r="AC34" s="222">
        <v>6.1</v>
      </c>
      <c r="AD34" s="222">
        <v>0.6516636752726761</v>
      </c>
      <c r="AE34" s="206">
        <f>AC34-AD34</f>
        <v>5.4483363247273235</v>
      </c>
      <c r="AF34" s="154">
        <v>3.42</v>
      </c>
      <c r="AG34" s="207">
        <f>10^-AF34</f>
        <v>3.8018939632056113E-4</v>
      </c>
      <c r="AH34" s="207">
        <v>3.1622776601683798E-2</v>
      </c>
      <c r="AI34" s="207">
        <f>+AG34*AH34</f>
        <v>1.2022644346174128E-5</v>
      </c>
      <c r="AJ34" s="207">
        <v>5.0118723362727197E-7</v>
      </c>
      <c r="AK34" s="207">
        <f>+((AJ34/(10^(-H34)))*AI34)*1000000</f>
        <v>10.715193052376064</v>
      </c>
      <c r="AL34" s="207">
        <v>5.6234132519034893E-11</v>
      </c>
      <c r="AM34" s="207">
        <f>+(((AJ34*AL34)/(10^(-H34)))*AI34)*1000000</f>
        <v>6.0255958607435753E-10</v>
      </c>
      <c r="AN34" s="208">
        <f>+AK34+2*AM34</f>
        <v>10.715193053581183</v>
      </c>
      <c r="AO34" s="155">
        <f>+(5.5*(N34))*(10^-(0.96+0.9*H34-0.039*((H34)^2)))/((10^-(0.96+0.9*H34-0.039*((H34)^2)))+(10^-H34))</f>
        <v>39.199448857942386</v>
      </c>
      <c r="AP34" s="155">
        <f>+(5.5*(N34))*(10^-(0.96+0.9*4.5-0.039*((4.5)^2)))/((10^-(0.96+0.9*4.5-0.039*((4.5)^2)))+(10^-4.5))</f>
        <v>27.368196104101958</v>
      </c>
      <c r="AQ34" s="209"/>
      <c r="AR34" s="210">
        <f>(10^-H34)*1000000</f>
        <v>0.56234132519034874</v>
      </c>
      <c r="AS34" s="211">
        <f>(Q34/40.078*1000)*2</f>
        <v>271.88352409040209</v>
      </c>
      <c r="AT34" s="212">
        <f>(R34/24.312*1000)*2</f>
        <v>64.691693571866722</v>
      </c>
      <c r="AU34" s="211">
        <f>(S34/22.99*1000)</f>
        <v>333.11188064302786</v>
      </c>
      <c r="AV34" s="212">
        <f>(T34/39.102*1000)</f>
        <v>20.323223684205537</v>
      </c>
      <c r="AW34" s="212">
        <f>(X34/96.064*1000)*2</f>
        <v>55.571750129536277</v>
      </c>
      <c r="AX34" s="212">
        <f>(Y34/62.0067*1000)</f>
        <v>12.372140543229138</v>
      </c>
      <c r="AY34" s="211">
        <f>(Z34/35.453*1000)</f>
        <v>309.12904511492502</v>
      </c>
      <c r="AZ34" s="210">
        <f>(AA34/18.998)*1000</f>
        <v>3.2991503956156878</v>
      </c>
      <c r="BA34" s="210">
        <f>+AD34/30.97*3</f>
        <v>6.3125315654440697E-2</v>
      </c>
      <c r="BB34" s="211">
        <f>IF(H34&lt;5.5,0,I34-31.62+AR34)</f>
        <v>190.72396207725149</v>
      </c>
      <c r="BC34" s="213"/>
      <c r="BD34" s="211">
        <f>SUM(AR34:AV34)-SUM(AW34:BB34)</f>
        <v>119.41348973848062</v>
      </c>
      <c r="BE34" s="156">
        <f>BD34/SUM(AR34:BB34)*100</f>
        <v>9.4642527236796425</v>
      </c>
      <c r="BF34" s="214">
        <f>0.5*(SUM(AR34:AV34)+SUM(AW34:AZ34))*0.000001</f>
        <v>5.3547237474899925E-4</v>
      </c>
    </row>
    <row r="35" spans="1:88" s="196" customFormat="1" ht="12.75" customHeight="1" x14ac:dyDescent="0.2">
      <c r="B35" s="45">
        <v>3</v>
      </c>
      <c r="C35" s="152" t="s">
        <v>107</v>
      </c>
      <c r="D35" s="152" t="s">
        <v>22</v>
      </c>
      <c r="E35" s="197" t="s">
        <v>159</v>
      </c>
      <c r="F35" s="153">
        <v>2000</v>
      </c>
      <c r="G35" s="157">
        <v>1.2666666666667308</v>
      </c>
      <c r="H35" s="199">
        <v>6.39</v>
      </c>
      <c r="I35" s="200">
        <v>993.45085628345578</v>
      </c>
      <c r="J35" s="201">
        <v>67.3</v>
      </c>
      <c r="K35" s="202">
        <v>20.2</v>
      </c>
      <c r="L35" s="215">
        <v>0.254</v>
      </c>
      <c r="M35" s="157">
        <v>3.3000000000000002E-2</v>
      </c>
      <c r="N35" s="204">
        <v>4.9409999999999998</v>
      </c>
      <c r="O35" s="204">
        <f>L35/N35</f>
        <v>5.1406597854685286E-2</v>
      </c>
      <c r="P35" s="204">
        <f>L35/M35</f>
        <v>7.6969696969696964</v>
      </c>
      <c r="Q35" s="202">
        <v>4.9141500000000002</v>
      </c>
      <c r="R35" s="202">
        <v>0.90431899999999998</v>
      </c>
      <c r="S35" s="202">
        <v>7.53207</v>
      </c>
      <c r="T35" s="308">
        <v>0</v>
      </c>
      <c r="U35" s="309">
        <v>1.4E-2</v>
      </c>
      <c r="V35" s="202">
        <v>0.13872200000000001</v>
      </c>
      <c r="W35" s="308">
        <v>0</v>
      </c>
      <c r="X35" s="309">
        <v>2.6706694732106273</v>
      </c>
      <c r="Y35" s="309">
        <v>0.32974450479239326</v>
      </c>
      <c r="Z35" s="309">
        <f>1.32598161986264*10</f>
        <v>13.2598161986264</v>
      </c>
      <c r="AA35" s="309">
        <v>8.4577222363038398E-2</v>
      </c>
      <c r="AB35" s="309"/>
      <c r="AC35" s="196">
        <v>54</v>
      </c>
      <c r="AD35" s="196">
        <v>41</v>
      </c>
      <c r="AE35" s="196">
        <v>4</v>
      </c>
      <c r="AF35" s="154">
        <v>3.42</v>
      </c>
      <c r="AG35" s="207">
        <f>10^-AF35</f>
        <v>3.8018939632056113E-4</v>
      </c>
      <c r="AH35" s="207">
        <v>3.1622776601683798E-2</v>
      </c>
      <c r="AI35" s="207">
        <f>+AG35*AH35</f>
        <v>1.2022644346174128E-5</v>
      </c>
      <c r="AJ35" s="207">
        <v>5.0118723362727197E-7</v>
      </c>
      <c r="AK35" s="207">
        <f>+((AJ35/(10^(-H35)))*AI35)*1000000</f>
        <v>14.791083881682081</v>
      </c>
      <c r="AL35" s="207">
        <v>5.6234132519034893E-11</v>
      </c>
      <c r="AM35" s="207">
        <f>+(((AJ35*AL35)/(10^(-H35)))*AI35)*1000000</f>
        <v>8.3176377110267112E-10</v>
      </c>
      <c r="AN35" s="208">
        <f>+AK35+2*AM35</f>
        <v>14.791083883345609</v>
      </c>
      <c r="AO35" s="155">
        <f>+(5.5*(N35))*(10^-(0.96+0.9*H35-0.039*((H35)^2)))/((10^-(0.96+0.9*H35-0.039*((H35)^2)))+(10^-H35))</f>
        <v>25.794857515168601</v>
      </c>
      <c r="AP35" s="155">
        <f>+(5.5*(N35))*(10^-(0.96+0.9*4.5-0.039*((4.5)^2)))/((10^-(0.96+0.9*4.5-0.039*((4.5)^2)))+(10^-4.5))</f>
        <v>17.818718796991405</v>
      </c>
      <c r="AQ35" s="209"/>
      <c r="AR35" s="210">
        <f>(10^-H35)*1000000</f>
        <v>0.40738027780411229</v>
      </c>
      <c r="AS35" s="211">
        <f>(Q35/40.078*1000)*2</f>
        <v>245.22930285942414</v>
      </c>
      <c r="AT35" s="211">
        <f>(R35/24.312*1000)*2</f>
        <v>74.392810134912793</v>
      </c>
      <c r="AU35" s="211">
        <f>(S35/22.99*1000)</f>
        <v>327.62374945628534</v>
      </c>
      <c r="AV35" s="212">
        <f>(T35/39.102*1000)</f>
        <v>0</v>
      </c>
      <c r="AW35" s="211">
        <f>(X35/96.064*1000)*2</f>
        <v>55.60187943892879</v>
      </c>
      <c r="AX35" s="212">
        <f>(Y35/62.0067*1000)</f>
        <v>5.3178850800380157</v>
      </c>
      <c r="AY35" s="211">
        <f>(Z35/35.453*1000)</f>
        <v>374.0111189074662</v>
      </c>
      <c r="AZ35" s="210">
        <f>(AA35/18.998)*1000</f>
        <v>4.4519013771469833</v>
      </c>
      <c r="BA35" s="210">
        <f>+AD35/30.97*3</f>
        <v>3.971585405230869</v>
      </c>
      <c r="BB35" s="211">
        <f>IF(H35&lt;5.5,0,I35-31.62+AR35)</f>
        <v>962.2382365612599</v>
      </c>
      <c r="BC35" s="213"/>
      <c r="BD35" s="211">
        <f>SUM(AR35:AV35)-SUM(AW35:BB35)</f>
        <v>-757.93936404164424</v>
      </c>
      <c r="BE35" s="156">
        <f>BD35/SUM(AR35:BB35)*100</f>
        <v>-36.914204123523255</v>
      </c>
      <c r="BF35" s="214">
        <f>0.5*(SUM(AR35:AV35)+SUM(AW35:AZ35))*0.000001</f>
        <v>5.435180137660032E-4</v>
      </c>
    </row>
    <row r="36" spans="1:88" s="196" customFormat="1" ht="12.75" customHeight="1" x14ac:dyDescent="0.2">
      <c r="B36" s="45">
        <v>10</v>
      </c>
      <c r="C36" s="152" t="s">
        <v>107</v>
      </c>
      <c r="D36" s="152" t="s">
        <v>22</v>
      </c>
      <c r="E36" s="216">
        <v>42301.5</v>
      </c>
      <c r="F36" s="153">
        <v>1000</v>
      </c>
      <c r="G36" s="152">
        <v>2.5499999999999998</v>
      </c>
      <c r="H36" s="152">
        <v>6.21</v>
      </c>
      <c r="I36" s="152">
        <v>230</v>
      </c>
      <c r="J36" s="152">
        <v>51.9</v>
      </c>
      <c r="K36" s="198">
        <v>20.100000000000001</v>
      </c>
      <c r="L36" s="224">
        <v>0.52700000000000002</v>
      </c>
      <c r="M36" s="224">
        <v>6.4000000000000001E-2</v>
      </c>
      <c r="N36" s="217">
        <v>13.27</v>
      </c>
      <c r="O36" s="204">
        <f>L36/N36</f>
        <v>3.9713639788997744E-2</v>
      </c>
      <c r="P36" s="204">
        <f>L36/M36</f>
        <v>8.234375</v>
      </c>
      <c r="Q36" s="202">
        <v>3.726</v>
      </c>
      <c r="R36" s="202">
        <v>0.84060000000000001</v>
      </c>
      <c r="S36" s="202">
        <v>4.4210000000000003</v>
      </c>
      <c r="T36" s="202">
        <v>0.77400000000000002</v>
      </c>
      <c r="U36" s="202">
        <v>7.4017790956263898</v>
      </c>
      <c r="V36" s="309">
        <v>4.3194842406876788</v>
      </c>
      <c r="W36" s="202">
        <v>1.0765027322404372</v>
      </c>
      <c r="X36" s="309">
        <v>2.8548652850810035</v>
      </c>
      <c r="Y36" s="315">
        <v>0.27283954139291977</v>
      </c>
      <c r="Z36" s="309">
        <v>6.314612036105272</v>
      </c>
      <c r="AA36" s="309"/>
      <c r="AB36" s="309"/>
      <c r="AC36" s="152">
        <v>33</v>
      </c>
      <c r="AD36" s="152">
        <v>23</v>
      </c>
      <c r="AE36" s="152">
        <v>6</v>
      </c>
      <c r="AF36" s="154">
        <v>3.42</v>
      </c>
      <c r="AG36" s="207">
        <f>10^-AF36</f>
        <v>3.8018939632056113E-4</v>
      </c>
      <c r="AH36" s="207">
        <v>3.1622776601683798E-2</v>
      </c>
      <c r="AI36" s="207">
        <f>+AG36*AH36</f>
        <v>1.2022644346174128E-5</v>
      </c>
      <c r="AJ36" s="207">
        <v>5.0118723362727197E-7</v>
      </c>
      <c r="AK36" s="207">
        <f>+((AJ36/(10^(-H36)))*AI36)*1000000</f>
        <v>9.7723722095581103</v>
      </c>
      <c r="AL36" s="207">
        <v>5.6234132519034893E-11</v>
      </c>
      <c r="AM36" s="207">
        <f>+(((AJ36*AL36)/(10^(-H36)))*AI36)*1000000</f>
        <v>5.4954087385762461E-10</v>
      </c>
      <c r="AN36" s="208">
        <f>+AK36+2*AM36</f>
        <v>9.772372210657192</v>
      </c>
      <c r="AO36" s="155">
        <f>+(5.5*(N36))*(10^-(0.96+0.9*H36-0.039*((H36)^2)))/((10^-(0.96+0.9*H36-0.039*((H36)^2)))+(10^-H36))</f>
        <v>68.312993717803991</v>
      </c>
      <c r="AP36" s="155">
        <f>+(5.5*(N36))*(10^-(0.96+0.9*4.5-0.039*((4.5)^2)))/((10^-(0.96+0.9*4.5-0.039*((4.5)^2)))+(10^-4.5))</f>
        <v>47.855575477853861</v>
      </c>
      <c r="AQ36" s="209"/>
      <c r="AR36" s="210">
        <f>(10^-H36)*1000000</f>
        <v>0.61659500186148142</v>
      </c>
      <c r="AS36" s="211">
        <f>(Q36/40.078*1000)*2</f>
        <v>185.93742202704723</v>
      </c>
      <c r="AT36" s="211">
        <f>(R36/24.312*1000)*2</f>
        <v>69.151036525172756</v>
      </c>
      <c r="AU36" s="211">
        <f>(S36/22.99*1000)</f>
        <v>192.30100043497174</v>
      </c>
      <c r="AV36" s="212">
        <f>(T36/39.102*1000)</f>
        <v>19.794383918981129</v>
      </c>
      <c r="AW36" s="211">
        <f>(X36/96.064*1000)*2</f>
        <v>59.436735615443951</v>
      </c>
      <c r="AX36" s="212">
        <f>(Y36/62.0067*1000)</f>
        <v>4.4001622629960915</v>
      </c>
      <c r="AY36" s="211">
        <f>(Z36/35.453*1000)</f>
        <v>178.11220590938063</v>
      </c>
      <c r="AZ36" s="210">
        <f>(AA36/18.998)*1000</f>
        <v>0</v>
      </c>
      <c r="BA36" s="210">
        <f>+AD36/30.97*3</f>
        <v>2.2279625443978044</v>
      </c>
      <c r="BB36" s="211">
        <f>IF(H36&lt;5.5,0,I36-31.62+AR36)</f>
        <v>198.99659500186146</v>
      </c>
      <c r="BC36" s="213"/>
      <c r="BD36" s="211">
        <f>SUM(AR36:AV36)-SUM(AW36:BB36)</f>
        <v>24.626776573954373</v>
      </c>
      <c r="BE36" s="156">
        <f>BD36/SUM(AR36:BB36)*100</f>
        <v>2.7033454183211845</v>
      </c>
      <c r="BF36" s="214">
        <f>0.5*(SUM(AR36:AV36)+SUM(AW36:AZ36))*0.000001</f>
        <v>3.5487477084792746E-4</v>
      </c>
    </row>
    <row r="37" spans="1:88" s="196" customFormat="1" ht="12.75" x14ac:dyDescent="0.2">
      <c r="A37" s="277"/>
      <c r="B37" s="278">
        <v>7</v>
      </c>
      <c r="C37" s="279" t="s">
        <v>107</v>
      </c>
      <c r="D37" s="280" t="s">
        <v>22</v>
      </c>
      <c r="E37" s="281">
        <v>42674.510416666664</v>
      </c>
      <c r="F37" s="282">
        <v>1000</v>
      </c>
      <c r="G37" s="288"/>
      <c r="H37" s="283">
        <v>7.55</v>
      </c>
      <c r="I37" s="282">
        <v>263</v>
      </c>
      <c r="J37" s="303">
        <v>26.8</v>
      </c>
      <c r="K37" s="284">
        <v>22.2</v>
      </c>
      <c r="L37" s="286">
        <v>0.36899999999999999</v>
      </c>
      <c r="M37" s="286">
        <v>4.3999999999999997E-2</v>
      </c>
      <c r="N37" s="283">
        <v>8.6389999999999993</v>
      </c>
      <c r="O37" s="287">
        <f>L37/N37</f>
        <v>4.2713276999652737E-2</v>
      </c>
      <c r="P37" s="287">
        <f>L37/M37</f>
        <v>8.3863636363636367</v>
      </c>
      <c r="Q37" s="310">
        <v>4.2990000000000004</v>
      </c>
      <c r="R37" s="310">
        <v>1.0409999999999999</v>
      </c>
      <c r="S37" s="310">
        <v>4.8070000000000004</v>
      </c>
      <c r="T37" s="310">
        <v>0.81899999999999995</v>
      </c>
      <c r="U37" s="310">
        <v>19</v>
      </c>
      <c r="V37" s="310">
        <v>272</v>
      </c>
      <c r="W37" s="310">
        <v>21</v>
      </c>
      <c r="X37" s="300">
        <v>2.6162000000000001</v>
      </c>
      <c r="Y37" s="300">
        <v>0.2898</v>
      </c>
      <c r="Z37" s="302">
        <v>8.4667999999999992</v>
      </c>
      <c r="AA37" s="311">
        <v>4.2099999999999999E-2</v>
      </c>
      <c r="AB37" s="312"/>
      <c r="AC37" s="285">
        <v>16</v>
      </c>
      <c r="AD37" s="285">
        <v>12</v>
      </c>
      <c r="AE37" s="289">
        <f>AC37-AD37</f>
        <v>4</v>
      </c>
      <c r="AF37" s="290">
        <v>3.42</v>
      </c>
      <c r="AG37" s="291">
        <f>10^-AF37</f>
        <v>3.8018939632056113E-4</v>
      </c>
      <c r="AH37" s="291">
        <v>3.1622776601683798E-2</v>
      </c>
      <c r="AI37" s="291">
        <f>+AG37*AH37</f>
        <v>1.2022644346174128E-5</v>
      </c>
      <c r="AJ37" s="291">
        <v>5.0118723362727197E-7</v>
      </c>
      <c r="AK37" s="291">
        <f>+((AJ37/(10^(-H37)))*AI37)*1000000</f>
        <v>213.79620895022359</v>
      </c>
      <c r="AL37" s="291">
        <v>5.6234132519034893E-11</v>
      </c>
      <c r="AM37" s="291">
        <f>+(((AJ37*AL37)/(10^(-H37)))*AI37)*1000000</f>
        <v>1.2022644346174147E-8</v>
      </c>
      <c r="AN37" s="292">
        <f>+AK37+2*AM37</f>
        <v>213.79620897426886</v>
      </c>
      <c r="AO37" s="293">
        <f>+(5.5*(N37))*(10^-(0.96+0.9*H37-0.039*((H37)^2)))/((10^-(0.96+0.9*H37-0.039*((H37)^2)))+(10^-H37))</f>
        <v>47.063077890076265</v>
      </c>
      <c r="AP37" s="293">
        <f>+(5.5*(N37))*(10^-(0.96+0.9*4.5-0.039*((4.5)^2)))/((10^-(0.96+0.9*4.5-0.039*((4.5)^2)))+(10^-4.5))</f>
        <v>31.154809084640508</v>
      </c>
      <c r="AQ37" s="294"/>
      <c r="AR37" s="295">
        <f>(10^-H37)*1000000</f>
        <v>2.8183829312644466E-2</v>
      </c>
      <c r="AS37" s="296">
        <f>(Q37/40.078*1000)*2</f>
        <v>214.53166325664955</v>
      </c>
      <c r="AT37" s="296">
        <f>(R37/24.312*1000)*2</f>
        <v>85.636722606120429</v>
      </c>
      <c r="AU37" s="296">
        <f>(S37/22.99*1000)</f>
        <v>209.09090909090912</v>
      </c>
      <c r="AV37" s="297">
        <f>(T37/39.102*1000)</f>
        <v>20.945220193340493</v>
      </c>
      <c r="AW37" s="296">
        <f>(X37/96.064*1000)*2</f>
        <v>54.467854763491012</v>
      </c>
      <c r="AX37" s="297">
        <f>(Y37/62.0067*1000)</f>
        <v>4.6736884885020489</v>
      </c>
      <c r="AY37" s="296">
        <f>(Z37/35.453*1000)</f>
        <v>238.81758948466981</v>
      </c>
      <c r="AZ37" s="295">
        <f>(AA37/18.998)*1000</f>
        <v>2.2160227392357088</v>
      </c>
      <c r="BA37" s="295">
        <f>+AD37/30.97*3</f>
        <v>1.1624152405553763</v>
      </c>
      <c r="BB37" s="296">
        <f>IF(H37&lt;5.5,0,I37-31.62+AR37)</f>
        <v>231.40818382931263</v>
      </c>
      <c r="BC37" s="298"/>
      <c r="BD37" s="296">
        <f>SUM(AR37:AV37)-SUM(AW37:BB37)</f>
        <v>-2.5130555694344139</v>
      </c>
      <c r="BE37" s="296">
        <f>BD37/SUM(AR37:BB37)*100</f>
        <v>-0.23641641663644208</v>
      </c>
      <c r="BF37" s="299">
        <f>0.5*(SUM(AR37:AV37)+SUM(AW37:AZ37))*0.000001</f>
        <v>4.1520392722611539E-4</v>
      </c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  <c r="BV37" s="277"/>
      <c r="BW37" s="277"/>
      <c r="BX37" s="277"/>
      <c r="BY37" s="277"/>
      <c r="BZ37" s="277"/>
      <c r="CA37" s="277"/>
      <c r="CB37" s="277"/>
      <c r="CC37" s="277"/>
      <c r="CD37" s="277"/>
      <c r="CE37" s="277"/>
      <c r="CF37" s="277"/>
      <c r="CG37" s="277"/>
      <c r="CH37" s="277"/>
      <c r="CI37" s="277"/>
      <c r="CJ37" s="277"/>
    </row>
    <row r="38" spans="1:88" s="196" customFormat="1" ht="12.75" x14ac:dyDescent="0.2">
      <c r="A38" s="277"/>
      <c r="B38" s="278"/>
      <c r="C38" s="279"/>
      <c r="D38" s="280"/>
      <c r="E38" s="281"/>
      <c r="F38" s="282"/>
      <c r="G38" s="288"/>
      <c r="H38" s="283"/>
      <c r="I38" s="282"/>
      <c r="J38" s="284"/>
      <c r="K38" s="284"/>
      <c r="L38" s="286"/>
      <c r="M38" s="286"/>
      <c r="N38" s="283"/>
      <c r="O38" s="287"/>
      <c r="P38" s="287"/>
      <c r="Q38" s="310"/>
      <c r="R38" s="310"/>
      <c r="S38" s="310"/>
      <c r="T38" s="310"/>
      <c r="U38" s="310"/>
      <c r="V38" s="310"/>
      <c r="W38" s="310"/>
      <c r="X38" s="300"/>
      <c r="Y38" s="300"/>
      <c r="Z38" s="302"/>
      <c r="AA38" s="311"/>
      <c r="AB38" s="312"/>
      <c r="AC38" s="285"/>
      <c r="AD38" s="285"/>
      <c r="AE38" s="289"/>
      <c r="AF38" s="290"/>
      <c r="AG38" s="291"/>
      <c r="AH38" s="291"/>
      <c r="AI38" s="291"/>
      <c r="AJ38" s="291"/>
      <c r="AK38" s="291"/>
      <c r="AL38" s="291"/>
      <c r="AM38" s="291"/>
      <c r="AN38" s="292"/>
      <c r="AO38" s="293"/>
      <c r="AP38" s="293"/>
      <c r="AQ38" s="294"/>
      <c r="AR38" s="295"/>
      <c r="AS38" s="296"/>
      <c r="AT38" s="296"/>
      <c r="AU38" s="296"/>
      <c r="AV38" s="297"/>
      <c r="AW38" s="296"/>
      <c r="AX38" s="297"/>
      <c r="AY38" s="296"/>
      <c r="AZ38" s="295"/>
      <c r="BA38" s="295"/>
      <c r="BB38" s="296"/>
      <c r="BC38" s="298"/>
      <c r="BD38" s="296"/>
      <c r="BE38" s="296"/>
      <c r="BF38" s="299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7"/>
      <c r="BR38" s="277"/>
      <c r="BS38" s="277"/>
      <c r="BT38" s="277"/>
      <c r="BU38" s="277"/>
      <c r="BV38" s="277"/>
      <c r="BW38" s="277"/>
      <c r="BX38" s="277"/>
      <c r="BY38" s="277"/>
      <c r="BZ38" s="277"/>
      <c r="CA38" s="277"/>
      <c r="CB38" s="277"/>
      <c r="CC38" s="277"/>
      <c r="CD38" s="277"/>
      <c r="CE38" s="277"/>
      <c r="CF38" s="277"/>
      <c r="CG38" s="277"/>
      <c r="CH38" s="277"/>
      <c r="CI38" s="277"/>
      <c r="CJ38" s="277"/>
    </row>
    <row r="39" spans="1:88" s="277" customFormat="1" ht="12.75" x14ac:dyDescent="0.2">
      <c r="A39" s="196"/>
      <c r="B39" s="45">
        <v>8</v>
      </c>
      <c r="C39" s="225" t="s">
        <v>108</v>
      </c>
      <c r="D39" s="152" t="s">
        <v>22</v>
      </c>
      <c r="E39" s="197" t="s">
        <v>157</v>
      </c>
      <c r="F39" s="153">
        <v>1000</v>
      </c>
      <c r="G39" s="198"/>
      <c r="H39" s="199">
        <v>7.28</v>
      </c>
      <c r="I39" s="200">
        <v>1377.0163542082171</v>
      </c>
      <c r="J39" s="221">
        <v>224</v>
      </c>
      <c r="K39" s="202">
        <v>20.9</v>
      </c>
      <c r="L39" s="157">
        <v>0.20899999999999999</v>
      </c>
      <c r="M39" s="157">
        <v>3.2000000000000001E-2</v>
      </c>
      <c r="N39" s="203">
        <v>5.282</v>
      </c>
      <c r="O39" s="204">
        <f>L39/N39</f>
        <v>3.9568345323741004E-2</v>
      </c>
      <c r="P39" s="204">
        <f>L39/M39</f>
        <v>6.53125</v>
      </c>
      <c r="Q39" s="305">
        <v>33.155149988124009</v>
      </c>
      <c r="R39" s="305">
        <v>5.6764929403110793</v>
      </c>
      <c r="S39" s="305">
        <v>19.894904399988331</v>
      </c>
      <c r="T39" s="305">
        <v>3.6662853145275367</v>
      </c>
      <c r="U39" s="202">
        <v>7.8914010378057817</v>
      </c>
      <c r="V39" s="306">
        <v>7.5278001611603544</v>
      </c>
      <c r="W39" s="202">
        <v>0.97291492227602028</v>
      </c>
      <c r="X39" s="306">
        <v>18.839155437385831</v>
      </c>
      <c r="Y39" s="306">
        <v>2.3788359720884182</v>
      </c>
      <c r="Z39" s="307">
        <v>25.138833409804722</v>
      </c>
      <c r="AA39" s="306">
        <v>0.13873447175471793</v>
      </c>
      <c r="AB39" s="306"/>
      <c r="AC39" s="205">
        <v>69.13</v>
      </c>
      <c r="AD39" s="205">
        <v>30.664641723042937</v>
      </c>
      <c r="AE39" s="206">
        <f>AC39-AD39</f>
        <v>38.465358276957062</v>
      </c>
      <c r="AF39" s="154">
        <v>3.42</v>
      </c>
      <c r="AG39" s="207">
        <f>10^-AF39</f>
        <v>3.8018939632056113E-4</v>
      </c>
      <c r="AH39" s="207">
        <v>3.1622776601683798E-2</v>
      </c>
      <c r="AI39" s="207">
        <f>+AG39*AH39</f>
        <v>1.2022644346174128E-5</v>
      </c>
      <c r="AJ39" s="207">
        <v>5.0118723362727197E-7</v>
      </c>
      <c r="AK39" s="207">
        <f>+((AJ39/(10^(-H39)))*AI39)*1000000</f>
        <v>114.81536214968837</v>
      </c>
      <c r="AL39" s="207">
        <v>5.6234132519034893E-11</v>
      </c>
      <c r="AM39" s="207">
        <f>+(((AJ39*AL39)/(10^(-H39)))*AI39)*1000000</f>
        <v>6.4565422903465574E-9</v>
      </c>
      <c r="AN39" s="208">
        <f>+AK39+2*AM39</f>
        <v>114.81536216260146</v>
      </c>
      <c r="AO39" s="155">
        <f>+(5.5*(N39))*(10^-(0.96+0.9*H39-0.039*((H39)^2)))/((10^-(0.96+0.9*H39-0.039*((H39)^2)))+(10^-H39))</f>
        <v>28.632285105479664</v>
      </c>
      <c r="AP39" s="155">
        <f>+(5.5*(N39))*(10^-(0.96+0.9*4.5-0.039*((4.5)^2)))/((10^-(0.96+0.9*4.5-0.039*((4.5)^2)))+(10^-4.5))</f>
        <v>19.048466441147262</v>
      </c>
      <c r="AQ39" s="209"/>
      <c r="AR39" s="210">
        <f>(10^-H39)*1000000</f>
        <v>5.2480746024977189E-2</v>
      </c>
      <c r="AS39" s="211">
        <f>(Q39/40.078*1000)*2</f>
        <v>1654.531163637108</v>
      </c>
      <c r="AT39" s="211">
        <f>(R39/24.312*1000)*2</f>
        <v>466.97046234872317</v>
      </c>
      <c r="AU39" s="211">
        <f>(S39/22.99*1000)</f>
        <v>865.37209221349849</v>
      </c>
      <c r="AV39" s="212">
        <f>(T39/39.102*1000)</f>
        <v>93.762091824651847</v>
      </c>
      <c r="AW39" s="211">
        <f>(X39/96.064*1000)*2</f>
        <v>392.22092432931862</v>
      </c>
      <c r="AX39" s="212">
        <f>(Y39/62.0067*1000)</f>
        <v>38.364176324307188</v>
      </c>
      <c r="AY39" s="211">
        <f>(Z39/35.453*1000)</f>
        <v>709.07492764518429</v>
      </c>
      <c r="AZ39" s="210">
        <f>(AA39/18.998)*1000</f>
        <v>7.3025829958268194</v>
      </c>
      <c r="BA39" s="210">
        <f>+AD39/30.97*3</f>
        <v>2.9704205737529485</v>
      </c>
      <c r="BB39" s="211">
        <f>IF(H39&lt;5.5,0,I39-31.62+AR39)</f>
        <v>1345.4488349542421</v>
      </c>
      <c r="BC39" s="213"/>
      <c r="BD39" s="211">
        <f>SUM(AR39:AV39)-SUM(AW39:BB39)</f>
        <v>585.30642394737379</v>
      </c>
      <c r="BE39" s="156">
        <f>BD39/SUM(AR39:BB39)*100</f>
        <v>10.496755015723631</v>
      </c>
      <c r="BF39" s="214">
        <f>0.5*(SUM(AR39:AV39)+SUM(AW39:AZ39))*0.000001</f>
        <v>2.113825451032321E-3</v>
      </c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</row>
    <row r="40" spans="1:88" s="277" customFormat="1" ht="12.75" x14ac:dyDescent="0.2">
      <c r="A40" s="196"/>
      <c r="B40" s="45">
        <v>4</v>
      </c>
      <c r="C40" s="225" t="s">
        <v>108</v>
      </c>
      <c r="D40" s="152" t="s">
        <v>22</v>
      </c>
      <c r="E40" s="197" t="s">
        <v>160</v>
      </c>
      <c r="F40" s="153">
        <v>2000</v>
      </c>
      <c r="G40" s="157">
        <v>18.800000000000022</v>
      </c>
      <c r="H40" s="199">
        <v>7.11</v>
      </c>
      <c r="I40" s="200">
        <v>1975.9116840745278</v>
      </c>
      <c r="J40" s="201">
        <v>244</v>
      </c>
      <c r="K40" s="202">
        <v>22.2</v>
      </c>
      <c r="L40" s="215">
        <v>0.21199999999999999</v>
      </c>
      <c r="M40" s="157">
        <v>3.1E-2</v>
      </c>
      <c r="N40" s="204">
        <v>4.3140000000000001</v>
      </c>
      <c r="O40" s="204">
        <f>L40/N40</f>
        <v>4.9142327306444133E-2</v>
      </c>
      <c r="P40" s="204">
        <f>L40/M40</f>
        <v>6.838709677419355</v>
      </c>
      <c r="Q40" s="202">
        <v>28.4818</v>
      </c>
      <c r="R40" s="202">
        <v>5.2700100000000001</v>
      </c>
      <c r="S40" s="202">
        <v>15.9796</v>
      </c>
      <c r="T40" s="202">
        <v>2.5989599999999999</v>
      </c>
      <c r="U40" s="308">
        <v>9.1805500000000009E-3</v>
      </c>
      <c r="V40" s="202">
        <v>0.194129</v>
      </c>
      <c r="W40" s="202">
        <v>2.9373699999999999E-2</v>
      </c>
      <c r="X40" s="309">
        <f>1.77399956616401*10</f>
        <v>17.739995661640101</v>
      </c>
      <c r="Y40" s="309">
        <v>1.2198919028314683</v>
      </c>
      <c r="Z40" s="309">
        <v>20.800429866027621</v>
      </c>
      <c r="AA40" s="309">
        <v>0.1781211267474625</v>
      </c>
      <c r="AB40" s="309"/>
      <c r="AC40" s="196">
        <v>146</v>
      </c>
      <c r="AD40" s="196">
        <v>54</v>
      </c>
      <c r="AE40" s="196">
        <v>44</v>
      </c>
      <c r="AF40" s="154">
        <v>3.42</v>
      </c>
      <c r="AG40" s="207">
        <f>10^-AF40</f>
        <v>3.8018939632056113E-4</v>
      </c>
      <c r="AH40" s="207">
        <v>3.1622776601683798E-2</v>
      </c>
      <c r="AI40" s="207">
        <f>+AG40*AH40</f>
        <v>1.2022644346174128E-5</v>
      </c>
      <c r="AJ40" s="207">
        <v>5.0118723362727197E-7</v>
      </c>
      <c r="AK40" s="207">
        <f>+((AJ40/(10^(-H40)))*AI40)*1000000</f>
        <v>77.624711662869373</v>
      </c>
      <c r="AL40" s="207">
        <v>5.6234132519034893E-11</v>
      </c>
      <c r="AM40" s="207">
        <f>+(((AJ40*AL40)/(10^(-H40)))*AI40)*1000000</f>
        <v>4.3651583224016687E-9</v>
      </c>
      <c r="AN40" s="208">
        <f>+AK40+2*AM40</f>
        <v>77.624711671599684</v>
      </c>
      <c r="AO40" s="155">
        <f>+(5.5*(N40))*(10^-(0.96+0.9*H40-0.039*((H40)^2)))/((10^-(0.96+0.9*H40-0.039*((H40)^2)))+(10^-H40))</f>
        <v>23.285876006369893</v>
      </c>
      <c r="AP40" s="155">
        <f>+(5.5*(N40))*(10^-(0.96+0.9*4.5-0.039*((4.5)^2)))/((10^-(0.96+0.9*4.5-0.039*((4.5)^2)))+(10^-4.5))</f>
        <v>15.557569902898386</v>
      </c>
      <c r="AQ40" s="209"/>
      <c r="AR40" s="210">
        <f>(10^-H40)*1000000</f>
        <v>7.7624711662868925E-2</v>
      </c>
      <c r="AS40" s="211">
        <f>(Q40/40.078*1000)*2</f>
        <v>1421.3184290633264</v>
      </c>
      <c r="AT40" s="211">
        <f>(R40/24.312*1000)*2</f>
        <v>433.53158933859822</v>
      </c>
      <c r="AU40" s="211">
        <f>(S40/22.99*1000)</f>
        <v>695.06742061765988</v>
      </c>
      <c r="AV40" s="212">
        <f>(T40/39.102*1000)</f>
        <v>66.466165413533844</v>
      </c>
      <c r="AW40" s="211">
        <f>(X40/96.064*1000)*2</f>
        <v>369.33701827198752</v>
      </c>
      <c r="AX40" s="212">
        <f>(Y40/62.0067*1000)</f>
        <v>19.673549839476511</v>
      </c>
      <c r="AY40" s="211">
        <f>(Z40/35.453*1000)</f>
        <v>586.70436538593685</v>
      </c>
      <c r="AZ40" s="210">
        <f>(AA40/18.998)*1000</f>
        <v>9.3757830691368831</v>
      </c>
      <c r="BA40" s="210">
        <f>+AD40/30.97*3</f>
        <v>5.230868582499193</v>
      </c>
      <c r="BB40" s="211">
        <f>IF(H40&lt;5.5,0,I40-31.62+AR40)</f>
        <v>1944.3693087861907</v>
      </c>
      <c r="BC40" s="213"/>
      <c r="BD40" s="211">
        <f>SUM(AR40:AV40)-SUM(AW40:BB40)</f>
        <v>-318.22966479044635</v>
      </c>
      <c r="BE40" s="156">
        <f>BD40/SUM(AR40:BB40)*100</f>
        <v>-5.7326777889466198</v>
      </c>
      <c r="BF40" s="214">
        <f>0.5*(SUM(AR40:AV40)+SUM(AW40:AZ40))*0.000001</f>
        <v>1.8007759728556592E-3</v>
      </c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</row>
    <row r="41" spans="1:88" s="277" customFormat="1" ht="12.75" x14ac:dyDescent="0.2">
      <c r="A41" s="196"/>
      <c r="B41" s="45">
        <v>7</v>
      </c>
      <c r="C41" s="152" t="s">
        <v>108</v>
      </c>
      <c r="D41" s="152" t="s">
        <v>22</v>
      </c>
      <c r="E41" s="216">
        <v>42298.5</v>
      </c>
      <c r="F41" s="153">
        <v>1000</v>
      </c>
      <c r="G41" s="152">
        <v>5.51</v>
      </c>
      <c r="H41" s="152">
        <v>7.36</v>
      </c>
      <c r="I41" s="152">
        <v>1640</v>
      </c>
      <c r="J41" s="152">
        <v>228</v>
      </c>
      <c r="K41" s="198">
        <v>21</v>
      </c>
      <c r="L41" s="224">
        <v>0.17899999999999999</v>
      </c>
      <c r="M41" s="224">
        <v>1.7999999999999999E-2</v>
      </c>
      <c r="N41" s="217">
        <v>5.96</v>
      </c>
      <c r="O41" s="204">
        <f>L41/N41</f>
        <v>3.0033557046979863E-2</v>
      </c>
      <c r="P41" s="204">
        <f>L41/M41</f>
        <v>9.9444444444444446</v>
      </c>
      <c r="Q41" s="202">
        <v>24.169</v>
      </c>
      <c r="R41" s="202">
        <v>3.8879999999999999</v>
      </c>
      <c r="S41" s="202">
        <v>8.9990000000000006</v>
      </c>
      <c r="T41" s="202">
        <v>2.718</v>
      </c>
      <c r="U41" s="202">
        <v>1.3676797627872499</v>
      </c>
      <c r="V41" s="309">
        <v>3.125</v>
      </c>
      <c r="W41" s="202">
        <v>2.0255009107468123</v>
      </c>
      <c r="X41" s="309">
        <v>10.40473886737778</v>
      </c>
      <c r="Y41" s="309">
        <v>1.6139723718476027</v>
      </c>
      <c r="Z41" s="309">
        <v>15.228896256028976</v>
      </c>
      <c r="AA41" s="309"/>
      <c r="AB41" s="309"/>
      <c r="AC41" s="152">
        <v>198</v>
      </c>
      <c r="AD41" s="152">
        <v>67</v>
      </c>
      <c r="AE41" s="152">
        <v>64</v>
      </c>
      <c r="AF41" s="154">
        <v>3.42</v>
      </c>
      <c r="AG41" s="207">
        <f>10^-AF41</f>
        <v>3.8018939632056113E-4</v>
      </c>
      <c r="AH41" s="207">
        <v>3.1622776601683798E-2</v>
      </c>
      <c r="AI41" s="207">
        <f>+AG41*AH41</f>
        <v>1.2022644346174128E-5</v>
      </c>
      <c r="AJ41" s="207">
        <v>5.0118723362727197E-7</v>
      </c>
      <c r="AK41" s="207">
        <f>+((AJ41/(10^(-H41)))*AI41)*1000000</f>
        <v>138.03842646028849</v>
      </c>
      <c r="AL41" s="207">
        <v>5.6234132519034893E-11</v>
      </c>
      <c r="AM41" s="207">
        <f>+(((AJ41*AL41)/(10^(-H41)))*AI41)*1000000</f>
        <v>7.7624711662869157E-9</v>
      </c>
      <c r="AN41" s="208">
        <f>+AK41+2*AM41</f>
        <v>138.03842647581342</v>
      </c>
      <c r="AO41" s="155">
        <f>+(5.5*(N41))*(10^-(0.96+0.9*H41-0.039*((H41)^2)))/((10^-(0.96+0.9*H41-0.039*((H41)^2)))+(10^-H41))</f>
        <v>32.361767447256355</v>
      </c>
      <c r="AP41" s="155">
        <f>+(5.5*(N41))*(10^-(0.96+0.9*4.5-0.039*((4.5)^2)))/((10^-(0.96+0.9*4.5-0.039*((4.5)^2)))+(10^-4.5))</f>
        <v>21.493536537152149</v>
      </c>
      <c r="AQ41" s="209"/>
      <c r="AR41" s="210">
        <f>(10^-H41)*1000000</f>
        <v>4.3651583224016563E-2</v>
      </c>
      <c r="AS41" s="211">
        <f>(Q41/40.078*1000)*2</f>
        <v>1206.0981086880581</v>
      </c>
      <c r="AT41" s="211">
        <f>(R41/24.312*1000)*2</f>
        <v>319.84205330700888</v>
      </c>
      <c r="AU41" s="211">
        <f>(S41/22.99*1000)</f>
        <v>391.43105698129625</v>
      </c>
      <c r="AV41" s="212">
        <f>(T41/39.102*1000)</f>
        <v>69.51051097130582</v>
      </c>
      <c r="AW41" s="211">
        <f>(X41/96.064*1000)*2</f>
        <v>216.62097908431423</v>
      </c>
      <c r="AX41" s="212">
        <f>(Y41/62.0067*1000)</f>
        <v>26.028999637903688</v>
      </c>
      <c r="AY41" s="211">
        <f>(Z41/35.453*1000)</f>
        <v>429.55169537215397</v>
      </c>
      <c r="AZ41" s="210">
        <f>(AA41/18.998)*1000</f>
        <v>0</v>
      </c>
      <c r="BA41" s="210">
        <f>+AD41/30.97*3</f>
        <v>6.4901517597675173</v>
      </c>
      <c r="BB41" s="211">
        <f>IF(H41&lt;5.5,0,I41-31.62+AR41)</f>
        <v>1608.4236515832242</v>
      </c>
      <c r="BC41" s="213"/>
      <c r="BD41" s="211">
        <f>SUM(AR41:AV41)-SUM(AW41:BB41)</f>
        <v>-300.19009590647033</v>
      </c>
      <c r="BE41" s="156">
        <f>BD41/SUM(AR41:BB41)*100</f>
        <v>-7.0235663582059304</v>
      </c>
      <c r="BF41" s="214">
        <f>0.5*(SUM(AR41:AV41)+SUM(AW41:AZ41))*0.000001</f>
        <v>1.3295635278126325E-3</v>
      </c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</row>
    <row r="42" spans="1:88" s="277" customFormat="1" ht="12.75" x14ac:dyDescent="0.2">
      <c r="B42" s="278">
        <v>4</v>
      </c>
      <c r="C42" s="279" t="s">
        <v>184</v>
      </c>
      <c r="D42" s="280" t="s">
        <v>22</v>
      </c>
      <c r="E42" s="281">
        <v>42674.496527777781</v>
      </c>
      <c r="F42" s="282">
        <v>1000</v>
      </c>
      <c r="G42" s="288"/>
      <c r="H42" s="283">
        <v>6.87</v>
      </c>
      <c r="I42" s="282">
        <v>852</v>
      </c>
      <c r="J42" s="303">
        <v>25</v>
      </c>
      <c r="K42" s="284">
        <v>22.2</v>
      </c>
      <c r="L42" s="286">
        <v>0.152</v>
      </c>
      <c r="M42" s="286">
        <v>1.7999999999999999E-2</v>
      </c>
      <c r="N42" s="283">
        <v>8.85</v>
      </c>
      <c r="O42" s="287">
        <f>L42/N42</f>
        <v>1.7175141242937852E-2</v>
      </c>
      <c r="P42" s="287">
        <f>L42/M42</f>
        <v>8.4444444444444446</v>
      </c>
      <c r="Q42" s="310">
        <v>15.015000000000001</v>
      </c>
      <c r="R42" s="310">
        <v>2.5470000000000002</v>
      </c>
      <c r="S42" s="310">
        <v>7.319</v>
      </c>
      <c r="T42" s="310">
        <v>1.4990000000000001</v>
      </c>
      <c r="U42" s="310"/>
      <c r="V42" s="310">
        <v>36</v>
      </c>
      <c r="W42" s="310">
        <v>39</v>
      </c>
      <c r="X42" s="300">
        <v>13.633100000000001</v>
      </c>
      <c r="Y42" s="300">
        <v>1.3323</v>
      </c>
      <c r="Z42" s="302">
        <v>12.3668</v>
      </c>
      <c r="AA42" s="311">
        <v>8.2600000000000007E-2</v>
      </c>
      <c r="AB42" s="312"/>
      <c r="AC42" s="285">
        <v>30</v>
      </c>
      <c r="AD42" s="285">
        <v>17</v>
      </c>
      <c r="AE42" s="301">
        <f>AC42-AD42</f>
        <v>13</v>
      </c>
      <c r="AF42" s="290">
        <v>3.42</v>
      </c>
      <c r="AG42" s="291">
        <f>10^-AF42</f>
        <v>3.8018939632056113E-4</v>
      </c>
      <c r="AH42" s="291">
        <v>3.1622776601683798E-2</v>
      </c>
      <c r="AI42" s="291">
        <f>+AG42*AH42</f>
        <v>1.2022644346174128E-5</v>
      </c>
      <c r="AJ42" s="291">
        <v>5.0118723362727197E-7</v>
      </c>
      <c r="AK42" s="291">
        <f>+((AJ42/(10^(-H42)))*AI42)*1000000</f>
        <v>44.668359215096366</v>
      </c>
      <c r="AL42" s="291">
        <v>5.6234132519034893E-11</v>
      </c>
      <c r="AM42" s="291">
        <f>+(((AJ42*AL42)/(10^(-H42)))*AI42)*1000000</f>
        <v>2.511886431509582E-9</v>
      </c>
      <c r="AN42" s="292">
        <f>+AK42+2*AM42</f>
        <v>44.668359220120138</v>
      </c>
      <c r="AO42" s="293">
        <f>+(5.5*(N42))*(10^-(0.96+0.9*H42-0.039*((H42)^2)))/((10^-(0.96+0.9*H42-0.039*((H42)^2)))+(10^-H42))</f>
        <v>47.3925772128554</v>
      </c>
      <c r="AP42" s="293">
        <f>+(5.5*(N42))*(10^-(0.96+0.9*4.5-0.039*((4.5)^2)))/((10^-(0.96+0.9*4.5-0.039*((4.5)^2)))+(10^-4.5))</f>
        <v>31.915737978824918</v>
      </c>
      <c r="AQ42" s="294"/>
      <c r="AR42" s="295">
        <f>(10^-H42)*1000000</f>
        <v>0.13489628825916511</v>
      </c>
      <c r="AS42" s="296">
        <f>(Q42/40.078*1000)*2</f>
        <v>749.28888667099159</v>
      </c>
      <c r="AT42" s="296">
        <f>(R42/24.312*1000)*2</f>
        <v>209.52615992102668</v>
      </c>
      <c r="AU42" s="296">
        <f>(S42/22.99*1000)</f>
        <v>318.35580687255333</v>
      </c>
      <c r="AV42" s="297">
        <f>(T42/39.102*1000)</f>
        <v>38.335635005882061</v>
      </c>
      <c r="AW42" s="296">
        <f>(X42/96.064*1000)*2</f>
        <v>283.83369420386413</v>
      </c>
      <c r="AX42" s="297">
        <f>(Y42/62.0067*1000)</f>
        <v>21.486387761322568</v>
      </c>
      <c r="AY42" s="296">
        <f>(Z42/35.453*1000)</f>
        <v>348.82238456548106</v>
      </c>
      <c r="AZ42" s="295">
        <f>(AA42/18.998)*1000</f>
        <v>4.3478260869565215</v>
      </c>
      <c r="BA42" s="295">
        <f>+AD42/30.97*3</f>
        <v>1.646754924120116</v>
      </c>
      <c r="BB42" s="296">
        <f>IF(H42&lt;5.5,0,I42-31.62+AR42)</f>
        <v>820.51489628825914</v>
      </c>
      <c r="BC42" s="298"/>
      <c r="BD42" s="296">
        <f>SUM(AR42:AV42)-SUM(AW42:BB42)</f>
        <v>-165.0105590712908</v>
      </c>
      <c r="BE42" s="296">
        <f>BD42/SUM(AR42:BB42)*100</f>
        <v>-5.9010461236043259</v>
      </c>
      <c r="BF42" s="299">
        <f>0.5*(SUM(AR42:AV42)+SUM(AW42:AZ42))*0.000001</f>
        <v>9.8706583868816847E-4</v>
      </c>
    </row>
    <row r="43" spans="1:88" s="277" customFormat="1" ht="12.75" x14ac:dyDescent="0.2">
      <c r="B43" s="278"/>
      <c r="C43" s="279"/>
      <c r="D43" s="280"/>
      <c r="E43" s="281"/>
      <c r="F43" s="282"/>
      <c r="G43" s="288"/>
      <c r="H43" s="283"/>
      <c r="I43" s="282"/>
      <c r="J43" s="284"/>
      <c r="K43" s="284"/>
      <c r="L43" s="286"/>
      <c r="M43" s="286"/>
      <c r="N43" s="283"/>
      <c r="O43" s="287"/>
      <c r="P43" s="287"/>
      <c r="Q43" s="310"/>
      <c r="R43" s="310"/>
      <c r="S43" s="310"/>
      <c r="T43" s="310"/>
      <c r="U43" s="310"/>
      <c r="V43" s="310"/>
      <c r="W43" s="310"/>
      <c r="X43" s="300"/>
      <c r="Y43" s="300"/>
      <c r="Z43" s="302"/>
      <c r="AA43" s="311"/>
      <c r="AB43" s="312"/>
      <c r="AC43" s="285"/>
      <c r="AD43" s="285"/>
      <c r="AE43" s="301"/>
      <c r="AF43" s="290"/>
      <c r="AG43" s="291"/>
      <c r="AH43" s="291"/>
      <c r="AI43" s="291"/>
      <c r="AJ43" s="291"/>
      <c r="AK43" s="291"/>
      <c r="AL43" s="291"/>
      <c r="AM43" s="291"/>
      <c r="AN43" s="292"/>
      <c r="AO43" s="293"/>
      <c r="AP43" s="293"/>
      <c r="AQ43" s="294"/>
      <c r="AR43" s="295"/>
      <c r="AS43" s="296"/>
      <c r="AT43" s="296"/>
      <c r="AU43" s="296"/>
      <c r="AV43" s="297"/>
      <c r="AW43" s="296"/>
      <c r="AX43" s="297"/>
      <c r="AY43" s="296"/>
      <c r="AZ43" s="295"/>
      <c r="BA43" s="295"/>
      <c r="BB43" s="296"/>
      <c r="BC43" s="298"/>
      <c r="BD43" s="296"/>
      <c r="BE43" s="296"/>
      <c r="BF43" s="299"/>
    </row>
    <row r="44" spans="1:88" s="277" customFormat="1" ht="12.75" x14ac:dyDescent="0.2">
      <c r="A44" s="196"/>
      <c r="B44" s="45">
        <v>4</v>
      </c>
      <c r="C44" s="152" t="s">
        <v>104</v>
      </c>
      <c r="D44" s="152" t="s">
        <v>22</v>
      </c>
      <c r="E44" s="197" t="s">
        <v>154</v>
      </c>
      <c r="F44" s="153">
        <v>1000</v>
      </c>
      <c r="G44" s="198"/>
      <c r="H44" s="199">
        <v>7.38</v>
      </c>
      <c r="I44" s="200">
        <v>916.61165241598724</v>
      </c>
      <c r="J44" s="221">
        <v>219</v>
      </c>
      <c r="K44" s="202">
        <v>19.399999999999999</v>
      </c>
      <c r="L44" s="157">
        <v>0.22800000000000001</v>
      </c>
      <c r="M44" s="157">
        <v>0.28000000000000003</v>
      </c>
      <c r="N44" s="203">
        <v>6.9249999999999998</v>
      </c>
      <c r="O44" s="204">
        <f>L44/N44</f>
        <v>3.2924187725631771E-2</v>
      </c>
      <c r="P44" s="204">
        <f>L44/M44</f>
        <v>0.81428571428571428</v>
      </c>
      <c r="Q44" s="305">
        <v>25.035275101039684</v>
      </c>
      <c r="R44" s="305">
        <v>5.512700144520859</v>
      </c>
      <c r="S44" s="305">
        <v>21.030284120974741</v>
      </c>
      <c r="T44" s="305">
        <v>4.8838486549843863</v>
      </c>
      <c r="U44" s="202">
        <v>5.7679762787249818</v>
      </c>
      <c r="V44" s="306">
        <v>4.1287492165816095</v>
      </c>
      <c r="W44" s="202">
        <v>1.0564636499326512</v>
      </c>
      <c r="X44" s="306">
        <v>13.423475196029724</v>
      </c>
      <c r="Y44" s="306">
        <v>7.0080877433267297</v>
      </c>
      <c r="Z44" s="307">
        <v>34.878012449587345</v>
      </c>
      <c r="AA44" s="306">
        <v>0.24589216917498447</v>
      </c>
      <c r="AB44" s="306"/>
      <c r="AC44" s="205">
        <v>18.62</v>
      </c>
      <c r="AD44" s="222">
        <v>5.3088499240646136</v>
      </c>
      <c r="AE44" s="206">
        <f>AC44-AD44</f>
        <v>13.311150075935387</v>
      </c>
      <c r="AF44" s="154">
        <v>3.42</v>
      </c>
      <c r="AG44" s="207">
        <f>10^-AF44</f>
        <v>3.8018939632056113E-4</v>
      </c>
      <c r="AH44" s="207">
        <v>3.1622776601683798E-2</v>
      </c>
      <c r="AI44" s="207">
        <f>+AG44*AH44</f>
        <v>1.2022644346174128E-5</v>
      </c>
      <c r="AJ44" s="207">
        <v>5.0118723362727197E-7</v>
      </c>
      <c r="AK44" s="207">
        <f>+((AJ44/(10^(-H44)))*AI44)*1000000</f>
        <v>144.54397707459273</v>
      </c>
      <c r="AL44" s="207">
        <v>5.6234132519034893E-11</v>
      </c>
      <c r="AM44" s="207">
        <f>+(((AJ44*AL44)/(10^(-H44)))*AI44)*1000000</f>
        <v>8.1283051616409878E-9</v>
      </c>
      <c r="AN44" s="208">
        <f>+AK44+2*AM44</f>
        <v>144.54397709084935</v>
      </c>
      <c r="AO44" s="155">
        <f>+(5.5*(N44))*(10^-(0.96+0.9*H44-0.039*((H44)^2)))/((10^-(0.96+0.9*H44-0.039*((H44)^2)))+(10^-H44))</f>
        <v>37.616236566537999</v>
      </c>
      <c r="AP44" s="155">
        <f>+(5.5*(N44))*(10^-(0.96+0.9*4.5-0.039*((4.5)^2)))/((10^-(0.96+0.9*4.5-0.039*((4.5)^2)))+(10^-4.5))</f>
        <v>24.973614181170916</v>
      </c>
      <c r="AQ44" s="209"/>
      <c r="AR44" s="210">
        <f>(10^-H44)*1000000</f>
        <v>4.1686938347033513E-2</v>
      </c>
      <c r="AS44" s="211">
        <f>(Q44/40.078*1000)*2</f>
        <v>1249.3275662977035</v>
      </c>
      <c r="AT44" s="211">
        <f>(R44/24.312*1000)*2</f>
        <v>453.49622774933027</v>
      </c>
      <c r="AU44" s="211">
        <f>(S44/22.99*1000)</f>
        <v>914.75789999890128</v>
      </c>
      <c r="AV44" s="211">
        <f>(T44/39.102*1000)</f>
        <v>124.90022645860535</v>
      </c>
      <c r="AW44" s="211">
        <f>(X44/96.064*1000)*2</f>
        <v>279.4694203037501</v>
      </c>
      <c r="AX44" s="211">
        <f>(Y44/62.0067*1000)</f>
        <v>113.02145967011192</v>
      </c>
      <c r="AY44" s="211">
        <f>(Z44/35.453*1000)</f>
        <v>983.78169547252264</v>
      </c>
      <c r="AZ44" s="212">
        <f>(AA44/18.998)*1000</f>
        <v>12.943055541371958</v>
      </c>
      <c r="BA44" s="210">
        <f>+AD44/30.97*3</f>
        <v>0.51425733846282995</v>
      </c>
      <c r="BB44" s="211">
        <f>IF(H44&lt;5.5,0,I44-31.62+AR44)</f>
        <v>885.03333935433432</v>
      </c>
      <c r="BC44" s="213"/>
      <c r="BD44" s="211">
        <f>SUM(AR44:AV44)-SUM(AW44:BB44)</f>
        <v>467.76037976233329</v>
      </c>
      <c r="BE44" s="156">
        <f>BD44/SUM(AR44:BB44)*100</f>
        <v>9.32297465011934</v>
      </c>
      <c r="BF44" s="214">
        <f>0.5*(SUM(AR44:AV44)+SUM(AW44:AZ44))*0.000001</f>
        <v>2.0658696192153219E-3</v>
      </c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</row>
    <row r="45" spans="1:88" s="277" customFormat="1" ht="12.75" x14ac:dyDescent="0.2">
      <c r="A45" s="196"/>
      <c r="B45" s="45">
        <v>5</v>
      </c>
      <c r="C45" s="152" t="s">
        <v>104</v>
      </c>
      <c r="D45" s="196" t="s">
        <v>22</v>
      </c>
      <c r="E45" s="197" t="s">
        <v>161</v>
      </c>
      <c r="F45" s="153">
        <v>2000</v>
      </c>
      <c r="G45" s="157">
        <v>2.7142857142857326</v>
      </c>
      <c r="H45" s="199">
        <v>7.46</v>
      </c>
      <c r="I45" s="200">
        <v>984.24799356397023</v>
      </c>
      <c r="J45" s="201">
        <v>209</v>
      </c>
      <c r="K45" s="202">
        <v>22.5</v>
      </c>
      <c r="L45" s="215">
        <v>0.193</v>
      </c>
      <c r="M45" s="157">
        <v>2.4E-2</v>
      </c>
      <c r="N45" s="204">
        <v>4.6420000000000003</v>
      </c>
      <c r="O45" s="204">
        <f>L45/N45</f>
        <v>4.1576906505816455E-2</v>
      </c>
      <c r="P45" s="204">
        <f>L45/M45</f>
        <v>8.0416666666666661</v>
      </c>
      <c r="Q45" s="202">
        <v>18.3963</v>
      </c>
      <c r="R45" s="202">
        <v>4.1443700000000003</v>
      </c>
      <c r="S45" s="202">
        <v>18.277899999999999</v>
      </c>
      <c r="T45" s="202">
        <v>2.7003900000000001</v>
      </c>
      <c r="U45" s="308">
        <v>8.1408499999999998E-3</v>
      </c>
      <c r="V45" s="202">
        <v>1.54012E-2</v>
      </c>
      <c r="W45" s="308">
        <v>0</v>
      </c>
      <c r="X45" s="309">
        <f>1.59553952326245*10</f>
        <v>15.9553952326245</v>
      </c>
      <c r="Y45" s="309">
        <v>5.7389042342330789</v>
      </c>
      <c r="Z45" s="309">
        <v>32.89905319260923</v>
      </c>
      <c r="AA45" s="309">
        <v>0.29777800691237177</v>
      </c>
      <c r="AB45" s="309"/>
      <c r="AC45" s="196">
        <v>59</v>
      </c>
      <c r="AD45" s="196">
        <v>44</v>
      </c>
      <c r="AE45" s="196">
        <v>6</v>
      </c>
      <c r="AF45" s="154">
        <v>3.42</v>
      </c>
      <c r="AG45" s="207">
        <f>10^-AF45</f>
        <v>3.8018939632056113E-4</v>
      </c>
      <c r="AH45" s="207">
        <v>3.1622776601683798E-2</v>
      </c>
      <c r="AI45" s="207">
        <f>+AG45*AH45</f>
        <v>1.2022644346174128E-5</v>
      </c>
      <c r="AJ45" s="207">
        <v>5.0118723362727197E-7</v>
      </c>
      <c r="AK45" s="207">
        <f>+((AJ45/(10^(-H45)))*AI45)*1000000</f>
        <v>173.78008287493739</v>
      </c>
      <c r="AL45" s="207">
        <v>5.6234132519034893E-11</v>
      </c>
      <c r="AM45" s="207">
        <f>+(((AJ45*AL45)/(10^(-H45)))*AI45)*1000000</f>
        <v>9.7723722095580961E-9</v>
      </c>
      <c r="AN45" s="208">
        <f>+AK45+2*AM45</f>
        <v>173.78008289448215</v>
      </c>
      <c r="AO45" s="155">
        <f>+(5.5*(N45))*(10^-(0.96+0.9*H45-0.039*((H45)^2)))/((10^-(0.96+0.9*H45-0.039*((H45)^2)))+(10^-H45))</f>
        <v>25.251822554650722</v>
      </c>
      <c r="AP45" s="155">
        <f>+(5.5*(N45))*(10^-(0.96+0.9*4.5-0.039*((4.5)^2)))/((10^-(0.96+0.9*4.5-0.039*((4.5)^2)))+(10^-4.5))</f>
        <v>16.740435672057096</v>
      </c>
      <c r="AQ45" s="209"/>
      <c r="AR45" s="210">
        <f>(10^-H45)*1000000</f>
        <v>3.4673685045253172E-2</v>
      </c>
      <c r="AS45" s="211">
        <f>(Q45/40.078*1000)*2</f>
        <v>918.02485153949783</v>
      </c>
      <c r="AT45" s="211">
        <f>(R45/24.312*1000)*2</f>
        <v>340.93205001645276</v>
      </c>
      <c r="AU45" s="211">
        <f>(S45/22.99*1000)</f>
        <v>795.0369725967812</v>
      </c>
      <c r="AV45" s="212">
        <f>(T45/39.102*1000)</f>
        <v>69.06015037593987</v>
      </c>
      <c r="AW45" s="211">
        <f>(X45/96.064*1000)*2</f>
        <v>332.18261227149611</v>
      </c>
      <c r="AX45" s="212">
        <f>(Y45/62.0067*1000)</f>
        <v>92.552969827987596</v>
      </c>
      <c r="AY45" s="211">
        <f>(Z45/35.453*1000)</f>
        <v>927.96246277068872</v>
      </c>
      <c r="AZ45" s="210">
        <f>(AA45/18.998)*1000</f>
        <v>15.674176592924082</v>
      </c>
      <c r="BA45" s="210">
        <f>+AD45/30.97*3</f>
        <v>4.2621892153697125</v>
      </c>
      <c r="BB45" s="211">
        <f>IF(H45&lt;5.5,0,I45-31.62+AR45)</f>
        <v>952.6626672490155</v>
      </c>
      <c r="BC45" s="213"/>
      <c r="BD45" s="211">
        <f>SUM(AR45:AV45)-SUM(AW45:BB45)</f>
        <v>-202.20837971376477</v>
      </c>
      <c r="BE45" s="156">
        <f>BD45/SUM(AR45:BB45)*100</f>
        <v>-4.5456574562013961</v>
      </c>
      <c r="BF45" s="214">
        <f>0.5*(SUM(AR45:AV45)+SUM(AW45:AZ45))*0.000001</f>
        <v>1.7457304598384067E-3</v>
      </c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G45" s="196"/>
      <c r="CH45" s="196"/>
      <c r="CI45" s="196"/>
      <c r="CJ45" s="196"/>
    </row>
    <row r="46" spans="1:88" s="277" customFormat="1" ht="12.75" x14ac:dyDescent="0.2">
      <c r="A46" s="196"/>
      <c r="B46" s="45">
        <v>9</v>
      </c>
      <c r="C46" s="152" t="s">
        <v>104</v>
      </c>
      <c r="D46" s="152" t="s">
        <v>22</v>
      </c>
      <c r="E46" s="216">
        <v>42300.5</v>
      </c>
      <c r="F46" s="153">
        <v>1000</v>
      </c>
      <c r="G46" s="152">
        <v>5.7</v>
      </c>
      <c r="H46" s="152">
        <v>7.18</v>
      </c>
      <c r="I46" s="152">
        <v>1000</v>
      </c>
      <c r="J46" s="152">
        <v>207</v>
      </c>
      <c r="K46" s="198">
        <v>21</v>
      </c>
      <c r="L46" s="224">
        <v>0.34499999999999997</v>
      </c>
      <c r="M46" s="224">
        <v>3.9E-2</v>
      </c>
      <c r="N46" s="217">
        <v>9.44</v>
      </c>
      <c r="O46" s="204">
        <f>L46/N46</f>
        <v>3.6546610169491525E-2</v>
      </c>
      <c r="P46" s="204">
        <f>L46/M46</f>
        <v>8.8461538461538449</v>
      </c>
      <c r="Q46" s="202">
        <v>16.577999999999999</v>
      </c>
      <c r="R46" s="202">
        <v>3.1840000000000002</v>
      </c>
      <c r="S46" s="202">
        <v>10.525</v>
      </c>
      <c r="T46" s="202">
        <v>3.294</v>
      </c>
      <c r="U46" s="202">
        <v>7.0163083765752399</v>
      </c>
      <c r="V46" s="309">
        <v>4.0866762177650422</v>
      </c>
      <c r="W46" s="202">
        <v>2.9599271402550094</v>
      </c>
      <c r="X46" s="309">
        <v>11.939594084258477</v>
      </c>
      <c r="Y46" s="309">
        <v>6.8091025327473762</v>
      </c>
      <c r="Z46" s="309">
        <v>21.680891741294705</v>
      </c>
      <c r="AA46" s="309"/>
      <c r="AB46" s="309"/>
      <c r="AC46" s="152">
        <v>86</v>
      </c>
      <c r="AD46" s="152">
        <v>68</v>
      </c>
      <c r="AE46" s="152">
        <v>36</v>
      </c>
      <c r="AF46" s="154">
        <v>3.42</v>
      </c>
      <c r="AG46" s="207">
        <f>10^-AF46</f>
        <v>3.8018939632056113E-4</v>
      </c>
      <c r="AH46" s="207">
        <v>3.1622776601683798E-2</v>
      </c>
      <c r="AI46" s="207">
        <f>+AG46*AH46</f>
        <v>1.2022644346174128E-5</v>
      </c>
      <c r="AJ46" s="207">
        <v>5.0118723362727197E-7</v>
      </c>
      <c r="AK46" s="207">
        <f>+((AJ46/(10^(-H46)))*AI46)*1000000</f>
        <v>91.201083935591157</v>
      </c>
      <c r="AL46" s="207">
        <v>5.6234132519034893E-11</v>
      </c>
      <c r="AM46" s="207">
        <f>+(((AJ46*AL46)/(10^(-H46)))*AI46)*1000000</f>
        <v>5.1286138399136567E-9</v>
      </c>
      <c r="AN46" s="208">
        <f>+AK46+2*AM46</f>
        <v>91.201083945848382</v>
      </c>
      <c r="AO46" s="155">
        <f>+(5.5*(N46))*(10^-(0.96+0.9*H46-0.039*((H46)^2)))/((10^-(0.96+0.9*H46-0.039*((H46)^2)))+(10^-H46))</f>
        <v>51.050132167962396</v>
      </c>
      <c r="AP46" s="155">
        <f>+(5.5*(N46))*(10^-(0.96+0.9*4.5-0.039*((4.5)^2)))/((10^-(0.96+0.9*4.5-0.039*((4.5)^2)))+(10^-4.5))</f>
        <v>34.043453844079913</v>
      </c>
      <c r="AQ46" s="209"/>
      <c r="AR46" s="210">
        <f>(10^-H46)*1000000</f>
        <v>6.6069344800759433E-2</v>
      </c>
      <c r="AS46" s="211">
        <f>(Q46/40.078*1000)*2</f>
        <v>827.28679075802177</v>
      </c>
      <c r="AT46" s="211">
        <f>(R46/24.312*1000)*2</f>
        <v>261.92826587693321</v>
      </c>
      <c r="AU46" s="211">
        <f>(S46/22.99*1000)</f>
        <v>457.80774249673777</v>
      </c>
      <c r="AV46" s="212">
        <f>(T46/39.102*1000)</f>
        <v>84.241215283105731</v>
      </c>
      <c r="AW46" s="211">
        <f>(X46/96.064*1000)*2</f>
        <v>248.57582620458192</v>
      </c>
      <c r="AX46" s="212">
        <f>(Y46/62.0067*1000)</f>
        <v>109.81236757878384</v>
      </c>
      <c r="AY46" s="211">
        <f>(Z46/35.453*1000)</f>
        <v>611.53898799240415</v>
      </c>
      <c r="AZ46" s="210">
        <f>(AA46/18.998)*1000</f>
        <v>0</v>
      </c>
      <c r="BA46" s="210">
        <f>+AD46/30.97*3</f>
        <v>6.5870196964804641</v>
      </c>
      <c r="BB46" s="211">
        <f>IF(H46&lt;5.5,0,I46-31.62+AR46)</f>
        <v>968.44606934480078</v>
      </c>
      <c r="BC46" s="213"/>
      <c r="BD46" s="211">
        <f>SUM(AR46:AV46)-SUM(AW46:BB46)</f>
        <v>-313.63018705745162</v>
      </c>
      <c r="BE46" s="156">
        <f>BD46/SUM(AR46:BB46)*100</f>
        <v>-8.7697070417141259</v>
      </c>
      <c r="BF46" s="214">
        <f>0.5*(SUM(AR46:AV46)+SUM(AW46:AZ46))*0.000001</f>
        <v>1.3006286327676845E-3</v>
      </c>
      <c r="BG46" s="196"/>
      <c r="BH46" s="196"/>
      <c r="BI46" s="196"/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</row>
    <row r="47" spans="1:88" s="277" customFormat="1" ht="12.75" x14ac:dyDescent="0.2">
      <c r="B47" s="278">
        <v>5</v>
      </c>
      <c r="C47" s="279" t="s">
        <v>104</v>
      </c>
      <c r="D47" s="280" t="s">
        <v>22</v>
      </c>
      <c r="E47" s="281">
        <v>42674.572916666664</v>
      </c>
      <c r="F47" s="282">
        <v>1000</v>
      </c>
      <c r="G47" s="288"/>
      <c r="H47" s="283">
        <v>7.2</v>
      </c>
      <c r="I47" s="282">
        <v>1130</v>
      </c>
      <c r="J47" s="303">
        <v>51.3</v>
      </c>
      <c r="K47" s="284">
        <v>22</v>
      </c>
      <c r="L47" s="286">
        <v>0.20799999999999999</v>
      </c>
      <c r="M47" s="286">
        <v>2.1000000000000001E-2</v>
      </c>
      <c r="N47" s="283">
        <v>6.0659999999999998</v>
      </c>
      <c r="O47" s="287">
        <f>L47/N47</f>
        <v>3.4289482360698981E-2</v>
      </c>
      <c r="P47" s="287">
        <f>L47/M47</f>
        <v>9.9047619047619033</v>
      </c>
      <c r="Q47" s="310">
        <v>20.542000000000002</v>
      </c>
      <c r="R47" s="310">
        <v>4.3780000000000001</v>
      </c>
      <c r="S47" s="310">
        <v>14.331</v>
      </c>
      <c r="T47" s="310">
        <v>3.2149999999999999</v>
      </c>
      <c r="U47" s="313"/>
      <c r="V47" s="313"/>
      <c r="W47" s="310">
        <v>13</v>
      </c>
      <c r="X47" s="300">
        <v>14.376799999999999</v>
      </c>
      <c r="Y47" s="300">
        <v>5.8019999999999996</v>
      </c>
      <c r="Z47" s="302">
        <v>30.8323</v>
      </c>
      <c r="AA47" s="311">
        <v>0.27639999999999998</v>
      </c>
      <c r="AB47" s="312"/>
      <c r="AC47" s="285">
        <v>20</v>
      </c>
      <c r="AD47" s="285">
        <v>13</v>
      </c>
      <c r="AE47" s="289">
        <f>AC47-AD47</f>
        <v>7</v>
      </c>
      <c r="AF47" s="290">
        <v>3.42</v>
      </c>
      <c r="AG47" s="291">
        <f>10^-AF47</f>
        <v>3.8018939632056113E-4</v>
      </c>
      <c r="AH47" s="291">
        <v>3.1622776601683798E-2</v>
      </c>
      <c r="AI47" s="291">
        <f>+AG47*AH47</f>
        <v>1.2022644346174128E-5</v>
      </c>
      <c r="AJ47" s="291">
        <v>5.0118723362727197E-7</v>
      </c>
      <c r="AK47" s="291">
        <f>+((AJ47/(10^(-H47)))*AI47)*1000000</f>
        <v>95.49925860214374</v>
      </c>
      <c r="AL47" s="291">
        <v>5.6234132519034893E-11</v>
      </c>
      <c r="AM47" s="291">
        <f>+(((AJ47*AL47)/(10^(-H47)))*AI47)*1000000</f>
        <v>5.3703179637025338E-9</v>
      </c>
      <c r="AN47" s="292">
        <f>+AK47+2*AM47</f>
        <v>95.499258612884375</v>
      </c>
      <c r="AO47" s="293">
        <f>+(5.5*(N47))*(10^-(0.96+0.9*H47-0.039*((H47)^2)))/((10^-(0.96+0.9*H47-0.039*((H47)^2)))+(10^-H47))</f>
        <v>32.820517878781551</v>
      </c>
      <c r="AP47" s="293">
        <f>+(5.5*(N47))*(10^-(0.96+0.9*4.5-0.039*((4.5)^2)))/((10^-(0.96+0.9*4.5-0.039*((4.5)^2)))+(10^-4.5))</f>
        <v>21.87580413328271</v>
      </c>
      <c r="AQ47" s="294"/>
      <c r="AR47" s="295">
        <f>(10^-H47)*1000000</f>
        <v>6.3095734448019178E-2</v>
      </c>
      <c r="AS47" s="296">
        <f>(Q47/40.078*1000)*2</f>
        <v>1025.101052946754</v>
      </c>
      <c r="AT47" s="296">
        <f>(R47/24.312*1000)*2</f>
        <v>360.15136558078314</v>
      </c>
      <c r="AU47" s="296">
        <f>(S47/22.99*1000)</f>
        <v>623.35798173118746</v>
      </c>
      <c r="AV47" s="297">
        <f>(T47/39.102*1000)</f>
        <v>82.220858268119287</v>
      </c>
      <c r="AW47" s="296">
        <f>(X47/96.064*1000)*2</f>
        <v>299.31712191872083</v>
      </c>
      <c r="AX47" s="297">
        <f>(Y47/62.0067*1000)</f>
        <v>93.570533506862958</v>
      </c>
      <c r="AY47" s="296">
        <f>(Z47/35.453*1000)</f>
        <v>869.66688291540902</v>
      </c>
      <c r="AZ47" s="295">
        <f>(AA47/18.998)*1000</f>
        <v>14.548899884198335</v>
      </c>
      <c r="BA47" s="295">
        <f>+AD47/30.97*3</f>
        <v>1.2592831772683242</v>
      </c>
      <c r="BB47" s="296">
        <f>IF(H47&lt;5.5,0,I47-31.62+AR47)</f>
        <v>1098.4430957344482</v>
      </c>
      <c r="BC47" s="298"/>
      <c r="BD47" s="296">
        <f>SUM(AR47:AV47)-SUM(AW47:BB47)</f>
        <v>-285.9114628756156</v>
      </c>
      <c r="BE47" s="296">
        <f>BD47/SUM(AR47:BB47)*100</f>
        <v>-6.3995221681614671</v>
      </c>
      <c r="BF47" s="299">
        <f>0.5*(SUM(AR47:AV47)+SUM(AW47:AZ47))*0.000001</f>
        <v>1.6839988962432416E-3</v>
      </c>
    </row>
    <row r="48" spans="1:88" s="141" customFormat="1" ht="15.75" x14ac:dyDescent="0.25">
      <c r="B48" s="128"/>
      <c r="C48" s="109"/>
      <c r="D48" s="109"/>
      <c r="E48" s="195"/>
      <c r="F48" s="42"/>
      <c r="G48" s="5"/>
      <c r="H48" s="5"/>
      <c r="I48" s="158"/>
      <c r="J48" s="159"/>
      <c r="K48" s="160"/>
      <c r="L48" s="161"/>
      <c r="M48" s="162"/>
      <c r="N48" s="163"/>
      <c r="O48" s="164"/>
      <c r="P48" s="164"/>
      <c r="Q48" s="164"/>
      <c r="R48" s="164"/>
      <c r="S48" s="257"/>
      <c r="T48" s="165"/>
      <c r="U48" s="257"/>
      <c r="V48" s="162"/>
      <c r="W48" s="162"/>
      <c r="X48" s="162"/>
      <c r="Y48" s="162"/>
      <c r="Z48" s="162"/>
      <c r="AA48" s="257"/>
      <c r="AB48" s="257"/>
      <c r="AC48" s="143"/>
      <c r="AD48" s="143"/>
      <c r="AE48" s="166"/>
      <c r="AF48" s="257"/>
      <c r="AG48" s="257"/>
      <c r="AH48" s="257"/>
      <c r="AK48" s="257"/>
      <c r="AL48" s="162"/>
      <c r="AM48" s="162"/>
      <c r="AN48" s="162"/>
      <c r="AO48" s="143"/>
      <c r="AP48" s="143"/>
      <c r="AQ48" s="143"/>
      <c r="AR48" s="166"/>
      <c r="AS48" s="165"/>
      <c r="AT48" s="165"/>
      <c r="AU48" s="167"/>
      <c r="AV48" s="168"/>
      <c r="AW48" s="168"/>
      <c r="AX48" s="107"/>
      <c r="AY48" s="108"/>
      <c r="AZ48" s="123"/>
      <c r="BA48" s="5"/>
      <c r="BB48" s="169"/>
      <c r="BC48" s="170"/>
      <c r="BD48" s="170"/>
      <c r="BE48" s="170"/>
      <c r="BF48" s="170"/>
    </row>
    <row r="49" spans="2:58" s="141" customFormat="1" ht="15.75" x14ac:dyDescent="0.25">
      <c r="B49" s="128"/>
      <c r="C49" s="109"/>
      <c r="D49" s="109"/>
      <c r="E49" s="129"/>
      <c r="F49" s="42"/>
      <c r="G49" s="5"/>
      <c r="H49" s="5"/>
      <c r="I49" s="158"/>
      <c r="J49" s="159"/>
      <c r="K49" s="160"/>
      <c r="L49" s="161"/>
      <c r="M49" s="162"/>
      <c r="N49" s="163"/>
      <c r="O49" s="164"/>
      <c r="P49" s="164"/>
      <c r="Q49" s="164"/>
      <c r="R49" s="164"/>
      <c r="S49" s="257"/>
      <c r="T49" s="165"/>
      <c r="U49" s="257"/>
      <c r="V49" s="162"/>
      <c r="W49" s="162"/>
      <c r="X49" s="162"/>
      <c r="Y49" s="162"/>
      <c r="Z49" s="162"/>
      <c r="AA49" s="162"/>
      <c r="AB49" s="143"/>
      <c r="AC49" s="143"/>
      <c r="AD49" s="143"/>
      <c r="AE49" s="166"/>
      <c r="AF49" s="257"/>
      <c r="AG49" s="257"/>
      <c r="AH49" s="257"/>
      <c r="AI49" s="257"/>
      <c r="AJ49" s="257"/>
      <c r="AK49" s="257"/>
      <c r="AL49" s="162"/>
      <c r="AM49" s="162"/>
      <c r="AN49" s="162"/>
      <c r="AO49" s="143"/>
      <c r="AP49" s="143"/>
      <c r="AQ49" s="143"/>
      <c r="AR49" s="166"/>
      <c r="AS49" s="165"/>
      <c r="AT49" s="165"/>
      <c r="AU49" s="167"/>
      <c r="AV49" s="168"/>
      <c r="AW49" s="168"/>
      <c r="AX49" s="107"/>
      <c r="AY49" s="108"/>
      <c r="AZ49" s="123"/>
      <c r="BA49" s="5"/>
      <c r="BB49" s="169"/>
      <c r="BC49" s="170"/>
      <c r="BD49" s="170"/>
      <c r="BE49" s="170"/>
      <c r="BF49" s="170"/>
    </row>
    <row r="50" spans="2:58" s="141" customFormat="1" ht="15.75" x14ac:dyDescent="0.25">
      <c r="B50" s="128"/>
      <c r="C50" s="109"/>
      <c r="D50" s="109"/>
      <c r="E50" s="129"/>
      <c r="F50" s="42"/>
      <c r="G50" s="5"/>
      <c r="H50" s="158"/>
      <c r="I50" s="159"/>
      <c r="J50" s="160"/>
      <c r="K50" s="161"/>
      <c r="L50" s="162"/>
      <c r="M50" s="162"/>
      <c r="N50" s="164"/>
      <c r="O50" s="164"/>
      <c r="P50" s="164"/>
      <c r="Q50" s="164"/>
      <c r="R50" s="257"/>
      <c r="S50" s="165"/>
      <c r="T50" s="257"/>
      <c r="U50" s="162"/>
      <c r="V50" s="162"/>
      <c r="W50" s="162"/>
      <c r="X50" s="162"/>
      <c r="Y50" s="162"/>
      <c r="Z50" s="162"/>
      <c r="AA50" s="143"/>
      <c r="AB50" s="143"/>
      <c r="AC50" s="143"/>
      <c r="AD50" s="166"/>
      <c r="AE50" s="257"/>
      <c r="AF50" s="257"/>
      <c r="AG50" s="257"/>
      <c r="AH50" s="257"/>
      <c r="AI50" s="257"/>
      <c r="AJ50" s="257"/>
      <c r="AK50" s="162"/>
      <c r="AL50" s="162"/>
      <c r="AM50" s="162"/>
      <c r="AN50" s="143"/>
      <c r="AO50" s="143"/>
      <c r="AP50" s="143"/>
      <c r="AQ50" s="166"/>
      <c r="AR50" s="165"/>
      <c r="AS50" s="165"/>
      <c r="AT50" s="167"/>
      <c r="AU50" s="168"/>
      <c r="AV50" s="168"/>
      <c r="AW50" s="107"/>
      <c r="AX50" s="108"/>
      <c r="AY50" s="123"/>
      <c r="AZ50" s="5"/>
      <c r="BA50" s="169"/>
      <c r="BB50" s="170"/>
      <c r="BC50" s="170"/>
      <c r="BD50" s="170"/>
      <c r="BE50" s="170"/>
      <c r="BF50" s="170"/>
    </row>
    <row r="51" spans="2:58" s="141" customFormat="1" x14ac:dyDescent="0.25">
      <c r="B51" s="128"/>
      <c r="C51" s="109"/>
      <c r="D51" s="109"/>
      <c r="E51" s="129"/>
      <c r="F51" s="42"/>
      <c r="G51" s="5"/>
      <c r="H51" s="158"/>
      <c r="I51" s="171"/>
      <c r="J51" s="172"/>
      <c r="K51" s="161"/>
      <c r="L51" s="162"/>
      <c r="M51" s="162"/>
      <c r="N51" s="136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32"/>
      <c r="AX51" s="32"/>
      <c r="AY51" s="32"/>
      <c r="AZ51" s="5"/>
      <c r="BA51" s="5"/>
      <c r="BB51" s="5"/>
      <c r="BC51" s="5"/>
      <c r="BD51" s="5"/>
      <c r="BE51" s="5"/>
      <c r="BF51" s="5"/>
    </row>
    <row r="52" spans="2:58" s="141" customFormat="1" x14ac:dyDescent="0.25">
      <c r="B52" s="128"/>
      <c r="C52" s="109"/>
      <c r="D52" s="109"/>
      <c r="E52" s="129"/>
      <c r="F52" s="42"/>
      <c r="G52" s="5"/>
      <c r="H52" s="158"/>
      <c r="I52" s="171"/>
      <c r="J52" s="172"/>
      <c r="K52" s="161"/>
      <c r="L52" s="162"/>
      <c r="M52" s="162"/>
      <c r="N52" s="136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32"/>
      <c r="AX52" s="32"/>
      <c r="AY52" s="32"/>
      <c r="AZ52" s="5"/>
      <c r="BA52" s="5"/>
      <c r="BB52" s="5"/>
      <c r="BC52" s="5"/>
      <c r="BD52" s="5"/>
      <c r="BE52" s="5"/>
      <c r="BF52" s="5"/>
    </row>
    <row r="53" spans="2:58" s="141" customFormat="1" x14ac:dyDescent="0.25">
      <c r="B53" s="128"/>
      <c r="C53" s="109"/>
      <c r="D53" s="109"/>
      <c r="E53" s="129"/>
      <c r="F53" s="5"/>
      <c r="G53" s="5"/>
      <c r="H53" s="172"/>
      <c r="I53" s="161"/>
      <c r="J53" s="172"/>
      <c r="K53" s="161"/>
      <c r="L53" s="162"/>
      <c r="M53" s="162"/>
      <c r="N53" s="136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32"/>
      <c r="AX53" s="32"/>
      <c r="AY53" s="32"/>
      <c r="AZ53" s="5"/>
      <c r="BA53" s="5"/>
      <c r="BB53" s="5"/>
      <c r="BC53" s="5"/>
      <c r="BD53" s="5"/>
      <c r="BE53" s="5"/>
      <c r="BF53" s="5"/>
    </row>
    <row r="54" spans="2:58" s="141" customFormat="1" x14ac:dyDescent="0.25">
      <c r="B54" s="128"/>
      <c r="C54" s="109"/>
      <c r="D54" s="109"/>
      <c r="E54" s="129"/>
      <c r="F54" s="5"/>
      <c r="G54" s="5"/>
      <c r="H54" s="172"/>
      <c r="I54" s="161"/>
      <c r="J54" s="172"/>
      <c r="K54" s="161"/>
      <c r="L54" s="162"/>
      <c r="M54" s="162"/>
      <c r="N54" s="136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"/>
      <c r="AY54" s="32"/>
      <c r="AZ54" s="5"/>
      <c r="BA54" s="5"/>
      <c r="BB54" s="5"/>
      <c r="BC54" s="5"/>
      <c r="BD54" s="5"/>
      <c r="BE54" s="5"/>
      <c r="BF54" s="5"/>
    </row>
    <row r="55" spans="2:58" s="141" customFormat="1" x14ac:dyDescent="0.25">
      <c r="B55" s="128"/>
      <c r="C55" s="109"/>
      <c r="D55" s="109"/>
      <c r="E55" s="129"/>
      <c r="F55" s="5"/>
      <c r="G55" s="5"/>
      <c r="H55" s="172"/>
      <c r="I55" s="161"/>
      <c r="J55" s="172"/>
      <c r="K55" s="161"/>
      <c r="L55" s="162"/>
      <c r="M55" s="162"/>
      <c r="N55" s="136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6"/>
      <c r="AQ55" s="256"/>
      <c r="AR55" s="256"/>
      <c r="AS55" s="256"/>
      <c r="AT55" s="256"/>
      <c r="AU55" s="256"/>
      <c r="AV55" s="256"/>
      <c r="AW55" s="256"/>
      <c r="AX55" s="32"/>
      <c r="AY55" s="32"/>
      <c r="AZ55" s="5"/>
      <c r="BA55" s="5"/>
      <c r="BB55" s="5"/>
      <c r="BC55" s="5"/>
      <c r="BD55" s="5"/>
      <c r="BE55" s="5"/>
      <c r="BF55" s="5"/>
    </row>
    <row r="56" spans="2:58" s="141" customFormat="1" x14ac:dyDescent="0.25">
      <c r="B56" s="128"/>
      <c r="C56" s="109"/>
      <c r="D56" s="109"/>
      <c r="E56" s="129"/>
      <c r="F56" s="5"/>
      <c r="G56" s="5"/>
      <c r="H56" s="172"/>
      <c r="I56" s="161"/>
      <c r="L56" s="162"/>
      <c r="M56" s="162"/>
      <c r="N56" s="136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8"/>
      <c r="AF56" s="166"/>
      <c r="AG56" s="166"/>
      <c r="AH56" s="166"/>
      <c r="AI56" s="166"/>
      <c r="AJ56" s="166"/>
      <c r="AK56" s="166"/>
      <c r="AL56" s="173"/>
      <c r="AM56" s="173"/>
      <c r="AN56" s="173"/>
      <c r="AO56" s="257"/>
      <c r="AP56" s="257"/>
      <c r="AQ56" s="257"/>
      <c r="AR56" s="257"/>
      <c r="AS56" s="257"/>
      <c r="AT56" s="257"/>
      <c r="AU56" s="257"/>
      <c r="AV56" s="257"/>
      <c r="AW56" s="257"/>
      <c r="AX56" s="32"/>
      <c r="AY56" s="32"/>
      <c r="AZ56" s="5"/>
      <c r="BA56" s="5"/>
      <c r="BB56" s="5"/>
      <c r="BC56" s="5"/>
      <c r="BD56" s="5"/>
      <c r="BE56" s="5"/>
      <c r="BF56" s="5"/>
    </row>
    <row r="57" spans="2:58" s="141" customFormat="1" x14ac:dyDescent="0.25">
      <c r="B57" s="128"/>
      <c r="C57" s="109"/>
      <c r="D57" s="109"/>
      <c r="E57" s="129"/>
      <c r="F57" s="5"/>
      <c r="G57" s="5"/>
      <c r="H57" s="172"/>
      <c r="I57" s="161"/>
      <c r="L57" s="162"/>
      <c r="M57" s="162"/>
      <c r="N57" s="136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109"/>
      <c r="AF57" s="257"/>
      <c r="AG57" s="257"/>
      <c r="AH57" s="257"/>
      <c r="AI57" s="257"/>
      <c r="AJ57" s="257"/>
      <c r="AK57" s="257"/>
      <c r="AL57" s="162"/>
      <c r="AM57" s="162"/>
      <c r="AN57" s="162"/>
      <c r="AO57" s="257"/>
      <c r="AP57" s="257"/>
      <c r="AQ57" s="257"/>
      <c r="AR57" s="257"/>
      <c r="AS57" s="257"/>
      <c r="AT57" s="257"/>
      <c r="AU57" s="257"/>
      <c r="AV57" s="257"/>
      <c r="AW57" s="257"/>
      <c r="AX57" s="32"/>
      <c r="AY57" s="32"/>
      <c r="AZ57" s="5"/>
      <c r="BA57" s="5"/>
      <c r="BB57" s="5"/>
      <c r="BC57" s="5"/>
      <c r="BD57" s="5"/>
      <c r="BE57" s="5"/>
      <c r="BF57" s="5"/>
    </row>
    <row r="58" spans="2:58" s="141" customFormat="1" x14ac:dyDescent="0.25">
      <c r="B58" s="128"/>
      <c r="C58" s="109"/>
      <c r="D58" s="109"/>
      <c r="E58" s="129"/>
      <c r="F58" s="5"/>
      <c r="G58" s="5"/>
      <c r="H58" s="172"/>
      <c r="I58" s="161"/>
      <c r="J58" s="172"/>
      <c r="K58" s="161"/>
      <c r="L58" s="162"/>
      <c r="M58" s="162"/>
      <c r="N58" s="136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109"/>
      <c r="AF58" s="257"/>
      <c r="AG58" s="257"/>
      <c r="AH58" s="257"/>
      <c r="AI58" s="257"/>
      <c r="AJ58" s="257"/>
      <c r="AK58" s="257"/>
      <c r="AL58" s="162"/>
      <c r="AM58" s="162"/>
      <c r="AN58" s="162"/>
      <c r="AO58" s="257"/>
      <c r="AP58" s="257"/>
      <c r="AQ58" s="257"/>
      <c r="AR58" s="257"/>
      <c r="AS58" s="257"/>
      <c r="AT58" s="257"/>
      <c r="AU58" s="257"/>
      <c r="AV58" s="257"/>
      <c r="AW58" s="257"/>
      <c r="AX58" s="32"/>
      <c r="AY58" s="32"/>
      <c r="AZ58" s="5"/>
      <c r="BA58" s="5"/>
      <c r="BB58" s="5"/>
      <c r="BC58" s="5"/>
      <c r="BD58" s="5"/>
      <c r="BE58" s="5"/>
      <c r="BF58" s="5"/>
    </row>
    <row r="59" spans="2:58" s="141" customFormat="1" x14ac:dyDescent="0.25">
      <c r="B59" s="128"/>
      <c r="C59" s="109"/>
      <c r="D59" s="109"/>
      <c r="E59" s="129"/>
      <c r="F59" s="5"/>
      <c r="G59" s="5"/>
      <c r="H59" s="172"/>
      <c r="I59" s="161"/>
      <c r="L59" s="162"/>
      <c r="M59" s="162"/>
      <c r="N59" s="136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109"/>
      <c r="AF59" s="257"/>
      <c r="AG59" s="257"/>
      <c r="AH59" s="257"/>
      <c r="AI59" s="257"/>
      <c r="AJ59" s="257"/>
      <c r="AK59" s="257"/>
      <c r="AL59" s="162"/>
      <c r="AM59" s="162"/>
      <c r="AN59" s="162"/>
      <c r="AO59" s="257"/>
      <c r="AP59" s="257"/>
      <c r="AQ59" s="257"/>
      <c r="AR59" s="257"/>
      <c r="AS59" s="257"/>
      <c r="AT59" s="257"/>
      <c r="AU59" s="257"/>
      <c r="AV59" s="257"/>
      <c r="AW59" s="257"/>
      <c r="AX59" s="32"/>
      <c r="AY59" s="32"/>
      <c r="AZ59" s="5"/>
      <c r="BA59" s="5"/>
      <c r="BB59" s="5"/>
      <c r="BC59" s="5"/>
      <c r="BD59" s="5"/>
      <c r="BE59" s="5"/>
      <c r="BF59" s="5"/>
    </row>
    <row r="60" spans="2:58" s="141" customFormat="1" x14ac:dyDescent="0.25">
      <c r="B60" s="128"/>
      <c r="C60" s="109"/>
      <c r="D60" s="109"/>
      <c r="E60" s="129"/>
      <c r="F60" s="5"/>
      <c r="G60" s="5"/>
      <c r="H60" s="172"/>
      <c r="I60" s="161"/>
      <c r="L60" s="162"/>
      <c r="M60" s="162"/>
      <c r="N60" s="136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109"/>
      <c r="AF60" s="257"/>
      <c r="AG60" s="257"/>
      <c r="AH60" s="257"/>
      <c r="AI60" s="257"/>
      <c r="AJ60" s="257"/>
      <c r="AK60" s="257"/>
      <c r="AL60" s="162"/>
      <c r="AM60" s="162"/>
      <c r="AN60" s="174"/>
      <c r="AO60" s="257"/>
      <c r="AP60" s="257"/>
      <c r="AQ60" s="257"/>
      <c r="AR60" s="257"/>
      <c r="AS60" s="257"/>
      <c r="AT60" s="257"/>
      <c r="AU60" s="257"/>
      <c r="AV60" s="257"/>
      <c r="AW60" s="257"/>
      <c r="AX60" s="32"/>
      <c r="AY60" s="32"/>
      <c r="AZ60" s="5"/>
      <c r="BA60" s="5"/>
      <c r="BB60" s="5"/>
      <c r="BC60" s="5"/>
      <c r="BD60" s="5"/>
      <c r="BE60" s="5"/>
      <c r="BF60" s="5"/>
    </row>
    <row r="61" spans="2:58" s="141" customFormat="1" x14ac:dyDescent="0.25">
      <c r="B61" s="128"/>
      <c r="C61" s="109"/>
      <c r="D61" s="109"/>
      <c r="E61" s="129"/>
      <c r="F61" s="5"/>
      <c r="G61" s="5"/>
      <c r="H61" s="172"/>
      <c r="I61" s="161"/>
      <c r="J61" s="172"/>
      <c r="K61" s="161"/>
      <c r="L61" s="162"/>
      <c r="M61" s="162"/>
      <c r="N61" s="136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109"/>
      <c r="AF61" s="257"/>
      <c r="AG61" s="257"/>
      <c r="AH61" s="257"/>
      <c r="AI61" s="257"/>
      <c r="AJ61" s="257"/>
      <c r="AK61" s="257"/>
      <c r="AL61" s="162"/>
      <c r="AM61" s="162"/>
      <c r="AN61" s="174"/>
      <c r="AO61" s="257"/>
      <c r="AP61" s="257"/>
      <c r="AQ61" s="257"/>
      <c r="AR61" s="257"/>
      <c r="AS61" s="257"/>
      <c r="AT61" s="257"/>
      <c r="AU61" s="257"/>
      <c r="AV61" s="257"/>
      <c r="AW61" s="257"/>
      <c r="AX61" s="32"/>
      <c r="AY61" s="32"/>
      <c r="AZ61" s="5"/>
      <c r="BA61" s="5"/>
      <c r="BB61" s="5"/>
      <c r="BC61" s="5"/>
      <c r="BD61" s="5"/>
      <c r="BE61" s="5"/>
      <c r="BF61" s="5"/>
    </row>
    <row r="62" spans="2:58" s="141" customFormat="1" x14ac:dyDescent="0.25">
      <c r="B62" s="128"/>
      <c r="C62" s="109"/>
      <c r="D62" s="109"/>
      <c r="E62" s="129"/>
      <c r="F62" s="5"/>
      <c r="G62" s="5"/>
      <c r="H62" s="172"/>
      <c r="I62" s="161"/>
      <c r="L62" s="162"/>
      <c r="M62" s="162"/>
      <c r="N62" s="136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109"/>
      <c r="AF62" s="257"/>
      <c r="AG62" s="257"/>
      <c r="AH62" s="257"/>
      <c r="AI62" s="257"/>
      <c r="AJ62" s="257"/>
      <c r="AK62" s="257"/>
      <c r="AL62" s="162"/>
      <c r="AM62" s="162"/>
      <c r="AN62" s="162"/>
      <c r="AO62" s="257"/>
      <c r="AP62" s="257"/>
      <c r="AQ62" s="257"/>
      <c r="AR62" s="257"/>
      <c r="AS62" s="257"/>
      <c r="AT62" s="257"/>
      <c r="AU62" s="257"/>
      <c r="AV62" s="257"/>
      <c r="AW62" s="257"/>
      <c r="AX62" s="32"/>
      <c r="AY62" s="32"/>
      <c r="AZ62" s="5"/>
      <c r="BA62" s="5"/>
      <c r="BB62" s="5"/>
      <c r="BC62" s="5"/>
      <c r="BD62" s="5"/>
      <c r="BE62" s="5"/>
      <c r="BF62" s="5"/>
    </row>
    <row r="63" spans="2:58" s="141" customFormat="1" x14ac:dyDescent="0.25">
      <c r="B63" s="128"/>
      <c r="C63" s="109"/>
      <c r="D63" s="109"/>
      <c r="E63" s="129"/>
      <c r="F63" s="5"/>
      <c r="G63" s="5"/>
      <c r="H63" s="172"/>
      <c r="I63" s="161"/>
      <c r="L63" s="162"/>
      <c r="M63" s="162"/>
      <c r="N63" s="136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129"/>
      <c r="AF63" s="257"/>
      <c r="AG63" s="257"/>
      <c r="AH63" s="257"/>
      <c r="AI63" s="257"/>
      <c r="AJ63" s="257"/>
      <c r="AK63" s="257"/>
      <c r="AL63" s="162"/>
      <c r="AM63" s="162"/>
      <c r="AN63" s="162"/>
      <c r="AO63" s="257"/>
      <c r="AP63" s="257"/>
      <c r="AQ63" s="257"/>
      <c r="AR63" s="257"/>
      <c r="AS63" s="257"/>
      <c r="AT63" s="257"/>
      <c r="AU63" s="257"/>
      <c r="AV63" s="257"/>
      <c r="AW63" s="257"/>
      <c r="AX63" s="32"/>
      <c r="AY63" s="32"/>
      <c r="AZ63" s="5"/>
      <c r="BA63" s="5"/>
      <c r="BB63" s="5"/>
      <c r="BC63" s="5"/>
      <c r="BD63" s="5"/>
      <c r="BE63" s="5"/>
      <c r="BF63" s="5"/>
    </row>
    <row r="64" spans="2:58" s="141" customFormat="1" x14ac:dyDescent="0.25">
      <c r="B64" s="128"/>
      <c r="C64" s="109"/>
      <c r="D64" s="109"/>
      <c r="E64" s="129"/>
      <c r="F64" s="5"/>
      <c r="G64" s="5"/>
      <c r="H64" s="172"/>
      <c r="I64" s="161"/>
      <c r="J64" s="172"/>
      <c r="K64" s="161"/>
      <c r="L64" s="162"/>
      <c r="M64" s="162"/>
      <c r="N64" s="136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162"/>
      <c r="AE64" s="109"/>
      <c r="AF64" s="257"/>
      <c r="AG64" s="257"/>
      <c r="AH64" s="257"/>
      <c r="AI64" s="257"/>
      <c r="AJ64" s="257"/>
      <c r="AK64" s="257"/>
      <c r="AL64" s="162"/>
      <c r="AM64" s="162"/>
      <c r="AN64" s="175"/>
      <c r="AO64" s="257"/>
      <c r="AP64" s="257"/>
      <c r="AQ64" s="257"/>
      <c r="AR64" s="257"/>
      <c r="AS64" s="257"/>
      <c r="AT64" s="257"/>
      <c r="AU64" s="257"/>
      <c r="AV64" s="257"/>
      <c r="AW64" s="257"/>
      <c r="AX64" s="32"/>
      <c r="AY64" s="32"/>
      <c r="AZ64" s="5"/>
      <c r="BA64" s="5"/>
      <c r="BB64" s="5"/>
      <c r="BC64" s="5"/>
      <c r="BD64" s="5"/>
      <c r="BE64" s="5"/>
      <c r="BF64" s="5"/>
    </row>
    <row r="65" spans="2:58" s="141" customFormat="1" x14ac:dyDescent="0.25">
      <c r="B65" s="128"/>
      <c r="C65" s="109"/>
      <c r="D65" s="109"/>
      <c r="E65" s="129"/>
      <c r="F65" s="5"/>
      <c r="G65" s="5"/>
      <c r="H65" s="172"/>
      <c r="I65" s="161"/>
      <c r="L65" s="162"/>
      <c r="M65" s="162"/>
      <c r="N65" s="136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162"/>
      <c r="AE65" s="109"/>
      <c r="AF65" s="257"/>
      <c r="AG65" s="257"/>
      <c r="AH65" s="257"/>
      <c r="AI65" s="257"/>
      <c r="AJ65" s="257"/>
      <c r="AK65" s="257"/>
      <c r="AL65" s="162"/>
      <c r="AM65" s="162"/>
      <c r="AN65" s="175"/>
      <c r="AO65" s="257"/>
      <c r="AP65" s="257"/>
      <c r="AQ65" s="257"/>
      <c r="AR65" s="257"/>
      <c r="AS65" s="257"/>
      <c r="AT65" s="257"/>
      <c r="AU65" s="257"/>
      <c r="AV65" s="257"/>
      <c r="AW65" s="257"/>
      <c r="AX65" s="32"/>
      <c r="AY65" s="32"/>
      <c r="AZ65" s="5"/>
      <c r="BA65" s="5"/>
      <c r="BB65" s="5"/>
      <c r="BC65" s="5"/>
      <c r="BD65" s="5"/>
      <c r="BE65" s="5"/>
      <c r="BF65" s="5"/>
    </row>
    <row r="66" spans="2:58" s="141" customFormat="1" x14ac:dyDescent="0.25">
      <c r="B66" s="128"/>
      <c r="C66" s="109"/>
      <c r="D66" s="109"/>
      <c r="E66" s="129"/>
      <c r="F66" s="5"/>
      <c r="G66" s="5"/>
      <c r="H66" s="172"/>
      <c r="I66" s="161"/>
      <c r="L66" s="162"/>
      <c r="M66" s="162"/>
      <c r="N66" s="136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162"/>
      <c r="AE66" s="109"/>
      <c r="AF66" s="257"/>
      <c r="AG66" s="257"/>
      <c r="AH66" s="257"/>
      <c r="AI66" s="257"/>
      <c r="AJ66" s="257"/>
      <c r="AK66" s="257"/>
      <c r="AL66" s="162"/>
      <c r="AM66" s="162"/>
      <c r="AN66" s="162"/>
      <c r="AO66" s="257"/>
      <c r="AP66" s="257"/>
      <c r="AQ66" s="257"/>
      <c r="AR66" s="257"/>
      <c r="AS66" s="257"/>
      <c r="AT66" s="257"/>
      <c r="AU66" s="257"/>
      <c r="AV66" s="257"/>
      <c r="AW66" s="257"/>
      <c r="AX66" s="32"/>
      <c r="AY66" s="32"/>
      <c r="AZ66" s="5"/>
      <c r="BA66" s="5"/>
      <c r="BB66" s="5"/>
      <c r="BC66" s="5"/>
      <c r="BD66" s="5"/>
      <c r="BE66" s="5"/>
      <c r="BF66" s="5"/>
    </row>
    <row r="67" spans="2:58" s="141" customFormat="1" x14ac:dyDescent="0.25">
      <c r="B67" s="128"/>
      <c r="C67" s="109"/>
      <c r="D67" s="109"/>
      <c r="E67" s="129"/>
      <c r="F67" s="5"/>
      <c r="G67" s="5"/>
      <c r="H67" s="172"/>
      <c r="I67" s="161"/>
      <c r="J67" s="172"/>
      <c r="K67" s="161"/>
      <c r="L67" s="162"/>
      <c r="M67" s="162"/>
      <c r="N67" s="136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32"/>
      <c r="AX67" s="32"/>
      <c r="AY67" s="32"/>
      <c r="AZ67" s="5"/>
      <c r="BA67" s="5"/>
      <c r="BB67" s="5"/>
      <c r="BC67" s="5"/>
      <c r="BD67" s="5"/>
      <c r="BE67" s="5"/>
      <c r="BF67" s="5"/>
    </row>
    <row r="68" spans="2:58" s="141" customFormat="1" x14ac:dyDescent="0.25">
      <c r="B68" s="128"/>
      <c r="C68" s="109"/>
      <c r="D68" s="109"/>
      <c r="E68" s="129"/>
      <c r="F68" s="5"/>
      <c r="G68" s="5"/>
      <c r="H68" s="172"/>
      <c r="I68" s="161"/>
      <c r="L68" s="162"/>
      <c r="M68" s="162"/>
      <c r="N68" s="136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32"/>
      <c r="AX68" s="32"/>
      <c r="AY68" s="32"/>
      <c r="AZ68" s="5"/>
      <c r="BA68" s="5"/>
      <c r="BB68" s="5"/>
      <c r="BC68" s="5"/>
      <c r="BD68" s="5"/>
      <c r="BE68" s="5"/>
      <c r="BF68" s="5"/>
    </row>
    <row r="69" spans="2:58" s="141" customFormat="1" x14ac:dyDescent="0.25">
      <c r="B69" s="128"/>
      <c r="C69" s="109"/>
      <c r="D69" s="109"/>
      <c r="E69" s="129"/>
      <c r="F69" s="5"/>
      <c r="G69" s="5"/>
      <c r="H69" s="172"/>
      <c r="I69" s="161"/>
      <c r="L69" s="162"/>
      <c r="M69" s="162"/>
      <c r="N69" s="136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  <c r="AP69" s="257"/>
      <c r="AQ69" s="257"/>
      <c r="AR69" s="257"/>
      <c r="AS69" s="257"/>
      <c r="AT69" s="257"/>
      <c r="AU69" s="257"/>
      <c r="AV69" s="257"/>
      <c r="AW69" s="32"/>
      <c r="AX69" s="32"/>
      <c r="AY69" s="32"/>
      <c r="AZ69" s="5"/>
      <c r="BA69" s="5"/>
      <c r="BB69" s="5"/>
      <c r="BC69" s="5"/>
      <c r="BD69" s="5"/>
      <c r="BE69" s="5"/>
      <c r="BF69" s="5"/>
    </row>
    <row r="70" spans="2:58" s="141" customFormat="1" x14ac:dyDescent="0.25">
      <c r="B70" s="128"/>
      <c r="C70" s="109"/>
      <c r="D70" s="109"/>
      <c r="E70" s="129"/>
      <c r="F70" s="42"/>
      <c r="G70" s="5"/>
      <c r="H70" s="158"/>
      <c r="I70" s="171"/>
      <c r="J70" s="172"/>
      <c r="K70" s="161"/>
      <c r="L70" s="162"/>
      <c r="M70" s="162"/>
      <c r="N70" s="136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32"/>
      <c r="AX70" s="32"/>
      <c r="AY70" s="32"/>
      <c r="AZ70" s="5"/>
      <c r="BA70" s="5"/>
      <c r="BB70" s="5"/>
      <c r="BC70" s="5"/>
      <c r="BD70" s="5"/>
      <c r="BE70" s="5"/>
      <c r="BF70" s="5"/>
    </row>
    <row r="71" spans="2:58" s="141" customFormat="1" x14ac:dyDescent="0.25">
      <c r="B71" s="128"/>
      <c r="C71" s="109"/>
      <c r="D71" s="109"/>
      <c r="E71" s="129"/>
      <c r="F71" s="42"/>
      <c r="G71" s="5"/>
      <c r="H71" s="158"/>
      <c r="I71" s="171"/>
      <c r="J71" s="172"/>
      <c r="K71" s="161"/>
      <c r="L71" s="162"/>
      <c r="M71" s="162"/>
      <c r="N71" s="136"/>
      <c r="O71" s="136"/>
      <c r="P71" s="136"/>
      <c r="Q71" s="136"/>
      <c r="R71" s="136"/>
      <c r="S71" s="136"/>
      <c r="T71" s="136"/>
      <c r="U71" s="136"/>
      <c r="V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32"/>
      <c r="AX71" s="32"/>
      <c r="AY71" s="32"/>
      <c r="AZ71" s="5"/>
      <c r="BA71" s="5"/>
      <c r="BB71" s="5"/>
      <c r="BC71" s="5"/>
      <c r="BD71" s="5"/>
      <c r="BE71" s="5"/>
      <c r="BF71" s="5"/>
    </row>
    <row r="72" spans="2:58" s="141" customFormat="1" x14ac:dyDescent="0.25">
      <c r="B72" s="128"/>
      <c r="C72" s="109"/>
      <c r="D72" s="109"/>
      <c r="E72" s="129"/>
      <c r="F72" s="42"/>
      <c r="G72" s="5"/>
      <c r="H72" s="158"/>
      <c r="I72" s="171"/>
      <c r="J72" s="172"/>
      <c r="K72" s="161"/>
      <c r="L72" s="162"/>
      <c r="M72" s="162"/>
      <c r="N72" s="136"/>
      <c r="O72" s="136"/>
      <c r="P72" s="136"/>
      <c r="Q72" s="136"/>
      <c r="R72" s="136"/>
      <c r="S72" s="136"/>
      <c r="T72" s="136"/>
      <c r="U72" s="136"/>
      <c r="V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32"/>
      <c r="AX72" s="32"/>
      <c r="AY72" s="32"/>
      <c r="AZ72" s="5"/>
      <c r="BA72" s="5"/>
      <c r="BB72" s="5"/>
      <c r="BC72" s="5"/>
      <c r="BD72" s="5"/>
      <c r="BE72" s="5"/>
      <c r="BF72" s="5"/>
    </row>
    <row r="73" spans="2:58" s="141" customFormat="1" x14ac:dyDescent="0.25">
      <c r="B73" s="128"/>
      <c r="C73" s="109"/>
      <c r="D73" s="109"/>
      <c r="E73" s="129"/>
      <c r="F73" s="42"/>
      <c r="G73" s="5"/>
      <c r="H73" s="158"/>
      <c r="I73" s="171"/>
      <c r="J73" s="172"/>
      <c r="K73" s="161"/>
      <c r="L73" s="162"/>
      <c r="M73" s="162"/>
      <c r="N73" s="136"/>
      <c r="O73" s="136"/>
      <c r="P73" s="136"/>
      <c r="Q73" s="136"/>
      <c r="R73" s="136"/>
      <c r="S73" s="136"/>
      <c r="T73" s="136"/>
      <c r="U73" s="136"/>
      <c r="V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32"/>
      <c r="AX73" s="32"/>
      <c r="AY73" s="32"/>
      <c r="AZ73" s="5"/>
      <c r="BA73" s="5"/>
      <c r="BB73" s="5"/>
      <c r="BC73" s="5"/>
      <c r="BD73" s="5"/>
      <c r="BE73" s="5"/>
      <c r="BF73" s="5"/>
    </row>
    <row r="74" spans="2:58" s="141" customFormat="1" x14ac:dyDescent="0.25">
      <c r="B74" s="128"/>
      <c r="C74" s="109"/>
      <c r="D74" s="109"/>
      <c r="E74" s="129"/>
      <c r="F74" s="42"/>
      <c r="G74" s="5"/>
      <c r="H74" s="158"/>
      <c r="I74" s="171"/>
      <c r="J74" s="172"/>
      <c r="K74" s="161"/>
      <c r="L74" s="162"/>
      <c r="M74" s="162"/>
      <c r="N74" s="136"/>
      <c r="O74" s="136"/>
      <c r="P74" s="136"/>
      <c r="Q74" s="136"/>
      <c r="R74" s="136"/>
      <c r="S74" s="136"/>
      <c r="T74" s="136"/>
      <c r="U74" s="136"/>
      <c r="V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32"/>
      <c r="AX74" s="32"/>
      <c r="AY74" s="32"/>
      <c r="AZ74" s="5"/>
      <c r="BA74" s="5"/>
      <c r="BB74" s="5"/>
      <c r="BC74" s="5"/>
      <c r="BD74" s="5"/>
      <c r="BE74" s="5"/>
      <c r="BF74" s="5"/>
    </row>
    <row r="75" spans="2:58" s="141" customFormat="1" x14ac:dyDescent="0.25">
      <c r="B75" s="128"/>
      <c r="C75" s="109"/>
      <c r="D75" s="109"/>
      <c r="E75" s="129"/>
      <c r="F75" s="42"/>
      <c r="G75" s="5"/>
      <c r="H75" s="158"/>
      <c r="I75" s="171"/>
      <c r="J75" s="172"/>
      <c r="K75" s="161"/>
      <c r="L75" s="162"/>
      <c r="M75" s="162"/>
      <c r="N75" s="136"/>
      <c r="O75" s="136"/>
      <c r="P75" s="136"/>
      <c r="Q75" s="136"/>
      <c r="R75" s="136"/>
      <c r="S75" s="136"/>
      <c r="T75" s="136"/>
      <c r="U75" s="136"/>
      <c r="V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32"/>
      <c r="AX75" s="32"/>
      <c r="AY75" s="32"/>
      <c r="AZ75" s="5"/>
      <c r="BA75" s="5"/>
      <c r="BB75" s="5"/>
      <c r="BC75" s="5"/>
      <c r="BD75" s="5"/>
      <c r="BE75" s="5"/>
      <c r="BF75" s="5"/>
    </row>
    <row r="76" spans="2:58" s="141" customFormat="1" x14ac:dyDescent="0.25">
      <c r="B76" s="128"/>
      <c r="C76" s="109"/>
      <c r="D76" s="109"/>
      <c r="E76" s="129"/>
      <c r="F76" s="42"/>
      <c r="G76" s="5"/>
      <c r="H76" s="158"/>
      <c r="I76" s="171"/>
      <c r="J76" s="172"/>
      <c r="K76" s="161"/>
      <c r="L76" s="162"/>
      <c r="M76" s="162"/>
      <c r="N76" s="136"/>
      <c r="O76" s="136"/>
      <c r="P76" s="136"/>
      <c r="Q76" s="136"/>
      <c r="R76" s="136"/>
      <c r="S76" s="136"/>
      <c r="T76" s="136"/>
      <c r="U76" s="136"/>
      <c r="V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32"/>
      <c r="AX76" s="32"/>
      <c r="AY76" s="32"/>
      <c r="AZ76" s="5"/>
      <c r="BA76" s="5"/>
      <c r="BB76" s="5"/>
      <c r="BC76" s="5"/>
      <c r="BD76" s="5"/>
      <c r="BE76" s="5"/>
      <c r="BF76" s="5"/>
    </row>
    <row r="77" spans="2:58" s="141" customFormat="1" x14ac:dyDescent="0.25">
      <c r="B77" s="128"/>
      <c r="C77" s="109"/>
      <c r="D77" s="109"/>
      <c r="E77" s="129"/>
      <c r="F77" s="42"/>
      <c r="G77" s="5"/>
      <c r="H77" s="158"/>
      <c r="I77" s="171"/>
      <c r="J77" s="172"/>
      <c r="K77" s="161"/>
      <c r="L77" s="162"/>
      <c r="M77" s="162"/>
      <c r="N77" s="136"/>
      <c r="O77" s="136"/>
      <c r="P77" s="136"/>
      <c r="Q77" s="136"/>
      <c r="R77" s="136"/>
      <c r="S77" s="136"/>
      <c r="T77" s="136"/>
      <c r="U77" s="136"/>
      <c r="V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32"/>
      <c r="AX77" s="32"/>
      <c r="AY77" s="32"/>
      <c r="AZ77" s="5"/>
      <c r="BA77" s="5"/>
      <c r="BB77" s="5"/>
      <c r="BC77" s="5"/>
      <c r="BD77" s="5"/>
      <c r="BE77" s="5"/>
      <c r="BF77" s="5"/>
    </row>
    <row r="78" spans="2:58" s="141" customFormat="1" x14ac:dyDescent="0.25">
      <c r="B78" s="128"/>
      <c r="C78" s="109"/>
      <c r="D78" s="109"/>
      <c r="E78" s="129"/>
      <c r="F78" s="42"/>
      <c r="G78" s="5"/>
      <c r="H78" s="158"/>
      <c r="I78" s="171"/>
      <c r="J78" s="172"/>
      <c r="K78" s="161"/>
      <c r="L78" s="162"/>
      <c r="M78" s="162"/>
      <c r="N78" s="136"/>
      <c r="O78" s="136"/>
      <c r="P78" s="136"/>
      <c r="Q78" s="136"/>
      <c r="R78" s="136"/>
      <c r="S78" s="136"/>
      <c r="T78" s="136"/>
      <c r="U78" s="136"/>
      <c r="V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32"/>
      <c r="AX78" s="32"/>
      <c r="AY78" s="32"/>
      <c r="AZ78" s="5"/>
      <c r="BA78" s="5"/>
      <c r="BB78" s="5"/>
      <c r="BC78" s="5"/>
      <c r="BD78" s="5"/>
      <c r="BE78" s="5"/>
      <c r="BF78" s="5"/>
    </row>
    <row r="79" spans="2:58" s="141" customFormat="1" x14ac:dyDescent="0.25">
      <c r="B79" s="128"/>
      <c r="C79" s="109"/>
      <c r="D79" s="109"/>
      <c r="E79" s="129"/>
      <c r="F79" s="42"/>
      <c r="G79" s="5"/>
      <c r="H79" s="158"/>
      <c r="I79" s="171"/>
      <c r="J79" s="172"/>
      <c r="K79" s="161"/>
      <c r="L79" s="162"/>
      <c r="M79" s="162"/>
      <c r="N79" s="136"/>
      <c r="O79" s="136"/>
      <c r="P79" s="136"/>
      <c r="Q79" s="136"/>
      <c r="R79" s="136"/>
      <c r="S79" s="136"/>
      <c r="T79" s="136"/>
      <c r="U79" s="136"/>
      <c r="V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32"/>
      <c r="AX79" s="32"/>
      <c r="AY79" s="32"/>
      <c r="AZ79" s="5"/>
      <c r="BA79" s="5"/>
      <c r="BB79" s="5"/>
      <c r="BC79" s="5"/>
      <c r="BD79" s="5"/>
      <c r="BE79" s="5"/>
      <c r="BF79" s="5"/>
    </row>
    <row r="80" spans="2:58" s="141" customFormat="1" x14ac:dyDescent="0.25">
      <c r="B80" s="128"/>
      <c r="C80" s="109"/>
      <c r="D80" s="109"/>
      <c r="E80" s="129"/>
      <c r="F80" s="42"/>
      <c r="G80" s="5"/>
      <c r="H80" s="158"/>
      <c r="I80" s="171"/>
      <c r="J80" s="172"/>
      <c r="K80" s="161"/>
      <c r="L80" s="162"/>
      <c r="M80" s="162"/>
      <c r="N80" s="136"/>
      <c r="O80" s="136"/>
      <c r="P80" s="136"/>
      <c r="Q80" s="136"/>
      <c r="R80" s="136"/>
      <c r="S80" s="136"/>
      <c r="T80" s="136"/>
      <c r="U80" s="136"/>
      <c r="V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32"/>
      <c r="AX80" s="32"/>
      <c r="AY80" s="32"/>
      <c r="AZ80" s="5"/>
      <c r="BA80" s="5"/>
      <c r="BB80" s="5"/>
      <c r="BC80" s="5"/>
      <c r="BD80" s="5"/>
      <c r="BE80" s="5"/>
      <c r="BF80" s="5"/>
    </row>
    <row r="81" spans="2:58" s="141" customFormat="1" x14ac:dyDescent="0.25">
      <c r="B81" s="128"/>
      <c r="C81" s="109"/>
      <c r="D81" s="109"/>
      <c r="E81" s="129"/>
      <c r="F81" s="42"/>
      <c r="G81" s="5"/>
      <c r="H81" s="158"/>
      <c r="I81" s="171"/>
      <c r="J81" s="172"/>
      <c r="K81" s="161"/>
      <c r="L81" s="162"/>
      <c r="M81" s="162"/>
      <c r="N81" s="136"/>
      <c r="O81" s="136"/>
      <c r="P81" s="136"/>
      <c r="Q81" s="136"/>
      <c r="R81" s="136"/>
      <c r="S81" s="136"/>
      <c r="T81" s="136"/>
      <c r="U81" s="136"/>
      <c r="V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32"/>
      <c r="AX81" s="32"/>
      <c r="AY81" s="32"/>
      <c r="AZ81" s="5"/>
      <c r="BA81" s="5"/>
      <c r="BB81" s="5"/>
      <c r="BC81" s="5"/>
      <c r="BD81" s="5"/>
      <c r="BE81" s="5"/>
      <c r="BF81" s="5"/>
    </row>
    <row r="82" spans="2:58" s="141" customFormat="1" x14ac:dyDescent="0.25">
      <c r="B82" s="128"/>
      <c r="C82" s="109"/>
      <c r="D82" s="109"/>
      <c r="E82" s="129"/>
      <c r="F82" s="42"/>
      <c r="G82" s="5"/>
      <c r="H82" s="158"/>
      <c r="I82" s="171"/>
      <c r="J82" s="172"/>
      <c r="K82" s="161"/>
      <c r="L82" s="162"/>
      <c r="M82" s="162"/>
      <c r="N82" s="136"/>
      <c r="O82" s="136"/>
      <c r="P82" s="136"/>
      <c r="Q82" s="136"/>
      <c r="R82" s="136"/>
      <c r="S82" s="136"/>
      <c r="T82" s="136"/>
      <c r="U82" s="136"/>
      <c r="V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32"/>
      <c r="AX82" s="32"/>
      <c r="AY82" s="32"/>
      <c r="AZ82" s="5"/>
      <c r="BA82" s="5"/>
      <c r="BB82" s="5"/>
      <c r="BC82" s="5"/>
      <c r="BD82" s="5"/>
      <c r="BE82" s="5"/>
      <c r="BF82" s="5"/>
    </row>
    <row r="83" spans="2:58" s="141" customFormat="1" x14ac:dyDescent="0.25">
      <c r="B83" s="128"/>
      <c r="C83" s="109"/>
      <c r="D83" s="109"/>
      <c r="E83" s="129"/>
      <c r="F83" s="42"/>
      <c r="G83" s="5"/>
      <c r="H83" s="158"/>
      <c r="I83" s="171"/>
      <c r="J83" s="172"/>
      <c r="K83" s="161"/>
      <c r="L83" s="162"/>
      <c r="M83" s="162"/>
      <c r="N83" s="136"/>
      <c r="O83" s="136"/>
      <c r="P83" s="136"/>
      <c r="Q83" s="136"/>
      <c r="R83" s="136"/>
      <c r="S83" s="136"/>
      <c r="T83" s="136"/>
      <c r="U83" s="136"/>
      <c r="V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32"/>
      <c r="AX83" s="32"/>
      <c r="AY83" s="32"/>
      <c r="AZ83" s="5"/>
      <c r="BA83" s="5"/>
      <c r="BB83" s="5"/>
      <c r="BC83" s="5"/>
      <c r="BD83" s="5"/>
      <c r="BE83" s="5"/>
      <c r="BF83" s="5"/>
    </row>
    <row r="84" spans="2:58" s="141" customFormat="1" x14ac:dyDescent="0.25">
      <c r="B84" s="128"/>
      <c r="C84" s="109"/>
      <c r="D84" s="109"/>
      <c r="E84" s="129"/>
      <c r="F84" s="42"/>
      <c r="G84" s="5"/>
      <c r="H84" s="158"/>
      <c r="I84" s="171"/>
      <c r="J84" s="172"/>
      <c r="K84" s="161"/>
      <c r="L84" s="162"/>
      <c r="M84" s="162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32"/>
      <c r="AX84" s="32"/>
      <c r="AY84" s="32"/>
      <c r="AZ84" s="5"/>
      <c r="BA84" s="5"/>
      <c r="BB84" s="5"/>
      <c r="BC84" s="5"/>
      <c r="BD84" s="5"/>
      <c r="BE84" s="5"/>
      <c r="BF84" s="5"/>
    </row>
    <row r="85" spans="2:58" s="141" customFormat="1" x14ac:dyDescent="0.25">
      <c r="B85" s="128"/>
      <c r="C85" s="109"/>
      <c r="D85" s="109"/>
      <c r="E85" s="129"/>
      <c r="F85" s="42"/>
      <c r="G85" s="5"/>
      <c r="H85" s="158"/>
      <c r="I85" s="171"/>
      <c r="J85" s="172"/>
      <c r="K85" s="161"/>
      <c r="L85" s="162"/>
      <c r="M85" s="162"/>
      <c r="N85" s="136"/>
      <c r="O85" s="136"/>
      <c r="P85" s="136"/>
      <c r="Q85" s="136"/>
      <c r="R85" s="136"/>
      <c r="S85" s="136"/>
      <c r="T85" s="136"/>
      <c r="U85" s="136"/>
      <c r="V85" s="136"/>
      <c r="W85" s="77"/>
      <c r="X85" s="77"/>
      <c r="Y85" s="77"/>
      <c r="Z85" s="77"/>
      <c r="AA85" s="77"/>
      <c r="AB85" s="77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32"/>
      <c r="AX85" s="32"/>
      <c r="AY85" s="32"/>
      <c r="AZ85" s="5"/>
      <c r="BA85" s="5"/>
      <c r="BB85" s="5"/>
      <c r="BC85" s="5"/>
      <c r="BD85" s="5"/>
      <c r="BE85" s="5"/>
      <c r="BF85" s="5"/>
    </row>
    <row r="86" spans="2:58" s="141" customFormat="1" x14ac:dyDescent="0.25">
      <c r="B86" s="128"/>
      <c r="C86" s="109"/>
      <c r="D86" s="109"/>
      <c r="E86" s="129"/>
      <c r="F86" s="42"/>
      <c r="G86" s="5"/>
      <c r="H86" s="158"/>
      <c r="I86" s="171"/>
      <c r="J86" s="172"/>
      <c r="K86" s="161"/>
      <c r="L86" s="162"/>
      <c r="M86" s="162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43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32"/>
      <c r="AX86" s="32"/>
      <c r="AY86" s="32"/>
      <c r="AZ86" s="5"/>
      <c r="BA86" s="5"/>
      <c r="BB86" s="5"/>
      <c r="BC86" s="5"/>
      <c r="BD86" s="5"/>
      <c r="BE86" s="5"/>
      <c r="BF86" s="5"/>
    </row>
    <row r="87" spans="2:58" s="141" customFormat="1" x14ac:dyDescent="0.25">
      <c r="B87" s="128"/>
      <c r="C87" s="109"/>
      <c r="D87" s="109"/>
      <c r="E87" s="129"/>
      <c r="F87" s="42"/>
      <c r="G87" s="5"/>
      <c r="H87" s="158"/>
      <c r="I87" s="171"/>
      <c r="J87" s="172"/>
      <c r="K87" s="161"/>
      <c r="L87" s="162"/>
      <c r="M87" s="162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43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32"/>
      <c r="AX87" s="32"/>
      <c r="AY87" s="32"/>
      <c r="AZ87" s="5"/>
      <c r="BA87" s="5"/>
      <c r="BB87" s="5"/>
      <c r="BC87" s="5"/>
      <c r="BD87" s="5"/>
      <c r="BE87" s="5"/>
      <c r="BF87" s="5"/>
    </row>
    <row r="88" spans="2:58" s="141" customFormat="1" x14ac:dyDescent="0.25">
      <c r="B88" s="128"/>
      <c r="C88" s="109"/>
      <c r="D88" s="109"/>
      <c r="E88" s="129"/>
      <c r="F88" s="42"/>
      <c r="G88" s="5"/>
      <c r="H88" s="158"/>
      <c r="I88" s="171"/>
      <c r="J88" s="172"/>
      <c r="K88" s="161"/>
      <c r="L88" s="162"/>
      <c r="M88" s="162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43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32"/>
      <c r="AX88" s="32"/>
      <c r="AY88" s="32"/>
      <c r="AZ88" s="5"/>
      <c r="BA88" s="5"/>
      <c r="BB88" s="5"/>
      <c r="BC88" s="5"/>
      <c r="BD88" s="5"/>
      <c r="BE88" s="5"/>
      <c r="BF88" s="5"/>
    </row>
    <row r="89" spans="2:58" s="141" customFormat="1" x14ac:dyDescent="0.25">
      <c r="B89" s="128"/>
      <c r="C89" s="109"/>
      <c r="D89" s="109"/>
      <c r="E89" s="129"/>
      <c r="F89" s="42"/>
      <c r="G89" s="5"/>
      <c r="H89" s="158"/>
      <c r="I89" s="171"/>
      <c r="J89" s="172"/>
      <c r="K89" s="161"/>
      <c r="L89" s="162"/>
      <c r="M89" s="162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43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32"/>
      <c r="AX89" s="32"/>
      <c r="AY89" s="32"/>
      <c r="AZ89" s="5"/>
      <c r="BA89" s="5"/>
      <c r="BB89" s="5"/>
      <c r="BC89" s="5"/>
      <c r="BD89" s="5"/>
      <c r="BE89" s="5"/>
      <c r="BF89" s="5"/>
    </row>
    <row r="90" spans="2:58" s="141" customFormat="1" x14ac:dyDescent="0.25">
      <c r="B90" s="128"/>
      <c r="C90" s="109"/>
      <c r="D90" s="109"/>
      <c r="E90" s="129"/>
      <c r="F90" s="42"/>
      <c r="G90" s="5"/>
      <c r="H90" s="158"/>
      <c r="I90" s="171"/>
      <c r="J90" s="172"/>
      <c r="K90" s="161"/>
      <c r="L90" s="162"/>
      <c r="M90" s="162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43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32"/>
      <c r="AX90" s="32"/>
      <c r="AY90" s="32"/>
      <c r="AZ90" s="5"/>
      <c r="BA90" s="5"/>
      <c r="BB90" s="5"/>
      <c r="BC90" s="5"/>
      <c r="BD90" s="5"/>
      <c r="BE90" s="5"/>
      <c r="BF90" s="5"/>
    </row>
    <row r="91" spans="2:58" s="141" customFormat="1" x14ac:dyDescent="0.25">
      <c r="B91" s="128"/>
      <c r="C91" s="109"/>
      <c r="D91" s="109"/>
      <c r="E91" s="129"/>
      <c r="F91" s="42"/>
      <c r="G91" s="5"/>
      <c r="H91" s="158"/>
      <c r="I91" s="171"/>
      <c r="J91" s="172"/>
      <c r="K91" s="161"/>
      <c r="L91" s="162"/>
      <c r="M91" s="162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43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32"/>
      <c r="AX91" s="32"/>
      <c r="AY91" s="32"/>
      <c r="AZ91" s="5"/>
      <c r="BA91" s="5"/>
      <c r="BB91" s="5"/>
      <c r="BC91" s="5"/>
      <c r="BD91" s="5"/>
      <c r="BE91" s="5"/>
      <c r="BF91" s="5"/>
    </row>
    <row r="92" spans="2:58" s="141" customFormat="1" x14ac:dyDescent="0.25">
      <c r="B92" s="128"/>
      <c r="C92" s="109"/>
      <c r="D92" s="109"/>
      <c r="E92" s="129"/>
      <c r="F92" s="42"/>
      <c r="G92" s="5"/>
      <c r="H92" s="158"/>
      <c r="I92" s="171"/>
      <c r="J92" s="172"/>
      <c r="K92" s="161"/>
      <c r="L92" s="162"/>
      <c r="M92" s="162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43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32"/>
      <c r="AX92" s="32"/>
      <c r="AY92" s="32"/>
      <c r="AZ92" s="5"/>
      <c r="BA92" s="5"/>
      <c r="BB92" s="5"/>
      <c r="BC92" s="5"/>
      <c r="BD92" s="5"/>
      <c r="BE92" s="5"/>
      <c r="BF92" s="5"/>
    </row>
    <row r="93" spans="2:58" s="141" customFormat="1" x14ac:dyDescent="0.25">
      <c r="B93" s="128"/>
      <c r="C93" s="109"/>
      <c r="D93" s="109"/>
      <c r="E93" s="129"/>
      <c r="F93" s="42"/>
      <c r="G93" s="5"/>
      <c r="H93" s="158"/>
      <c r="I93" s="171"/>
      <c r="J93" s="172"/>
      <c r="K93" s="161"/>
      <c r="L93" s="162"/>
      <c r="M93" s="162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43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32"/>
      <c r="AX93" s="32"/>
      <c r="AY93" s="32"/>
      <c r="AZ93" s="5"/>
      <c r="BA93" s="5"/>
      <c r="BB93" s="5"/>
      <c r="BC93" s="5"/>
      <c r="BD93" s="5"/>
      <c r="BE93" s="5"/>
      <c r="BF93" s="5"/>
    </row>
    <row r="94" spans="2:58" s="141" customFormat="1" x14ac:dyDescent="0.25">
      <c r="B94" s="128"/>
      <c r="C94" s="109"/>
      <c r="D94" s="109"/>
      <c r="E94" s="129"/>
      <c r="F94" s="42"/>
      <c r="G94" s="5"/>
      <c r="H94" s="158"/>
      <c r="I94" s="171"/>
      <c r="J94" s="172"/>
      <c r="K94" s="161"/>
      <c r="L94" s="162"/>
      <c r="M94" s="162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43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32"/>
      <c r="AX94" s="32"/>
      <c r="AY94" s="32"/>
      <c r="AZ94" s="5"/>
      <c r="BA94" s="5"/>
      <c r="BB94" s="5"/>
      <c r="BC94" s="5"/>
      <c r="BD94" s="5"/>
      <c r="BE94" s="5"/>
      <c r="BF94" s="5"/>
    </row>
    <row r="95" spans="2:58" s="141" customFormat="1" x14ac:dyDescent="0.25">
      <c r="B95" s="128"/>
      <c r="C95" s="109"/>
      <c r="D95" s="109"/>
      <c r="E95" s="129"/>
      <c r="F95" s="42"/>
      <c r="G95" s="5"/>
      <c r="H95" s="158"/>
      <c r="I95" s="171"/>
      <c r="J95" s="172"/>
      <c r="K95" s="161"/>
      <c r="L95" s="162"/>
      <c r="M95" s="162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43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32"/>
      <c r="AX95" s="32"/>
      <c r="AY95" s="32"/>
      <c r="AZ95" s="5"/>
      <c r="BA95" s="5"/>
      <c r="BB95" s="5"/>
      <c r="BC95" s="5"/>
      <c r="BD95" s="5"/>
      <c r="BE95" s="5"/>
      <c r="BF95" s="5"/>
    </row>
    <row r="96" spans="2:58" s="141" customFormat="1" x14ac:dyDescent="0.25">
      <c r="B96" s="128"/>
      <c r="C96" s="109"/>
      <c r="D96" s="109"/>
      <c r="E96" s="129"/>
      <c r="F96" s="42"/>
      <c r="G96" s="5"/>
      <c r="H96" s="158"/>
      <c r="I96" s="171"/>
      <c r="J96" s="172"/>
      <c r="K96" s="161"/>
      <c r="L96" s="162"/>
      <c r="M96" s="162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43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32"/>
      <c r="AX96" s="32"/>
      <c r="AY96" s="32"/>
      <c r="AZ96" s="5"/>
      <c r="BA96" s="5"/>
      <c r="BB96" s="5"/>
      <c r="BC96" s="5"/>
      <c r="BD96" s="5"/>
      <c r="BE96" s="5"/>
      <c r="BF96" s="5"/>
    </row>
    <row r="97" spans="2:58" s="141" customFormat="1" x14ac:dyDescent="0.25">
      <c r="B97" s="128"/>
      <c r="C97" s="109"/>
      <c r="D97" s="109"/>
      <c r="E97" s="129"/>
      <c r="F97" s="42"/>
      <c r="G97" s="5"/>
      <c r="H97" s="158"/>
      <c r="I97" s="171"/>
      <c r="J97" s="172"/>
      <c r="K97" s="161"/>
      <c r="L97" s="162"/>
      <c r="M97" s="162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32"/>
      <c r="AX97" s="32"/>
      <c r="AY97" s="32"/>
      <c r="AZ97" s="5"/>
      <c r="BA97" s="5"/>
      <c r="BB97" s="5"/>
      <c r="BC97" s="5"/>
      <c r="BD97" s="5"/>
      <c r="BE97" s="5"/>
      <c r="BF97" s="5"/>
    </row>
    <row r="98" spans="2:58" s="141" customFormat="1" x14ac:dyDescent="0.25">
      <c r="B98" s="128"/>
      <c r="C98" s="109"/>
      <c r="D98" s="109"/>
      <c r="E98" s="129"/>
      <c r="F98" s="42"/>
      <c r="G98" s="5"/>
      <c r="H98" s="158"/>
      <c r="I98" s="171"/>
      <c r="J98" s="172"/>
      <c r="K98" s="161"/>
      <c r="L98" s="162"/>
      <c r="M98" s="162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32"/>
      <c r="AX98" s="32"/>
      <c r="AY98" s="32"/>
      <c r="AZ98" s="5"/>
      <c r="BA98" s="5"/>
      <c r="BB98" s="5"/>
      <c r="BC98" s="5"/>
      <c r="BD98" s="5"/>
      <c r="BE98" s="5"/>
      <c r="BF98" s="5"/>
    </row>
    <row r="99" spans="2:58" s="141" customFormat="1" x14ac:dyDescent="0.25">
      <c r="B99" s="128"/>
      <c r="C99" s="109"/>
      <c r="D99" s="109"/>
      <c r="E99" s="129"/>
      <c r="F99" s="42"/>
      <c r="G99" s="5"/>
      <c r="H99" s="158"/>
      <c r="I99" s="171"/>
      <c r="J99" s="172"/>
      <c r="K99" s="161"/>
      <c r="L99" s="162"/>
      <c r="M99" s="162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32"/>
      <c r="AX99" s="32"/>
      <c r="AY99" s="32"/>
      <c r="AZ99" s="5"/>
      <c r="BA99" s="5"/>
      <c r="BB99" s="5"/>
      <c r="BC99" s="5"/>
      <c r="BD99" s="5"/>
      <c r="BE99" s="5"/>
      <c r="BF99" s="5"/>
    </row>
    <row r="100" spans="2:58" s="141" customFormat="1" x14ac:dyDescent="0.25">
      <c r="B100" s="128"/>
      <c r="C100" s="109"/>
      <c r="D100" s="109"/>
      <c r="E100" s="129"/>
      <c r="F100" s="42"/>
      <c r="G100" s="5"/>
      <c r="H100" s="158"/>
      <c r="I100" s="171"/>
      <c r="J100" s="172"/>
      <c r="K100" s="161"/>
      <c r="L100" s="162"/>
      <c r="M100" s="162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32"/>
      <c r="AX100" s="32"/>
      <c r="AY100" s="32"/>
      <c r="AZ100" s="5"/>
      <c r="BA100" s="5"/>
      <c r="BB100" s="5"/>
      <c r="BC100" s="5"/>
      <c r="BD100" s="5"/>
      <c r="BE100" s="5"/>
      <c r="BF100" s="5"/>
    </row>
    <row r="101" spans="2:58" s="141" customFormat="1" x14ac:dyDescent="0.25">
      <c r="B101" s="128"/>
      <c r="C101" s="109"/>
      <c r="D101" s="109"/>
      <c r="E101" s="129"/>
      <c r="F101" s="42"/>
      <c r="G101" s="5"/>
      <c r="H101" s="158"/>
      <c r="I101" s="171"/>
      <c r="J101" s="172"/>
      <c r="K101" s="161"/>
      <c r="L101" s="162"/>
      <c r="M101" s="162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32"/>
      <c r="AX101" s="32"/>
      <c r="AY101" s="32"/>
      <c r="AZ101" s="5"/>
      <c r="BA101" s="5"/>
      <c r="BB101" s="5"/>
      <c r="BC101" s="5"/>
      <c r="BD101" s="5"/>
      <c r="BE101" s="5"/>
      <c r="BF101" s="5"/>
    </row>
    <row r="102" spans="2:58" s="141" customFormat="1" x14ac:dyDescent="0.25">
      <c r="B102" s="128"/>
      <c r="C102" s="109"/>
      <c r="D102" s="109"/>
      <c r="E102" s="129"/>
      <c r="F102" s="42"/>
      <c r="G102" s="5"/>
      <c r="H102" s="158"/>
      <c r="I102" s="171"/>
      <c r="J102" s="172"/>
      <c r="K102" s="161"/>
      <c r="L102" s="162"/>
      <c r="M102" s="162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32"/>
      <c r="AX102" s="32"/>
      <c r="AY102" s="32"/>
      <c r="AZ102" s="5"/>
      <c r="BA102" s="5"/>
      <c r="BB102" s="5"/>
      <c r="BC102" s="5"/>
      <c r="BD102" s="5"/>
      <c r="BE102" s="5"/>
      <c r="BF102" s="5"/>
    </row>
    <row r="103" spans="2:58" s="141" customFormat="1" x14ac:dyDescent="0.25">
      <c r="B103" s="128"/>
      <c r="C103" s="109"/>
      <c r="D103" s="109"/>
      <c r="E103" s="129"/>
      <c r="F103" s="42"/>
      <c r="G103" s="5"/>
      <c r="H103" s="158"/>
      <c r="I103" s="171"/>
      <c r="J103" s="172"/>
      <c r="K103" s="161"/>
      <c r="L103" s="162"/>
      <c r="M103" s="162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32"/>
      <c r="AX103" s="32"/>
      <c r="AY103" s="32"/>
      <c r="AZ103" s="5"/>
      <c r="BA103" s="5"/>
      <c r="BB103" s="5"/>
      <c r="BC103" s="5"/>
      <c r="BD103" s="5"/>
      <c r="BE103" s="5"/>
      <c r="BF103" s="5"/>
    </row>
    <row r="104" spans="2:58" s="141" customFormat="1" x14ac:dyDescent="0.25">
      <c r="B104" s="128"/>
      <c r="C104" s="109"/>
      <c r="D104" s="109"/>
      <c r="E104" s="129"/>
      <c r="F104" s="42"/>
      <c r="G104" s="5"/>
      <c r="H104" s="158"/>
      <c r="I104" s="171"/>
      <c r="J104" s="172"/>
      <c r="K104" s="161"/>
      <c r="L104" s="162"/>
      <c r="M104" s="162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32"/>
      <c r="AX104" s="32"/>
      <c r="AY104" s="32"/>
      <c r="AZ104" s="5"/>
      <c r="BA104" s="5"/>
      <c r="BB104" s="5"/>
      <c r="BC104" s="5"/>
      <c r="BD104" s="5"/>
      <c r="BE104" s="5"/>
      <c r="BF104" s="5"/>
    </row>
    <row r="105" spans="2:58" s="141" customFormat="1" x14ac:dyDescent="0.25">
      <c r="B105" s="128"/>
      <c r="C105" s="109"/>
      <c r="D105" s="109"/>
      <c r="E105" s="129"/>
      <c r="F105" s="42"/>
      <c r="G105" s="5"/>
      <c r="H105" s="158"/>
      <c r="I105" s="171"/>
      <c r="J105" s="172"/>
      <c r="K105" s="161"/>
      <c r="L105" s="162"/>
      <c r="M105" s="162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32"/>
      <c r="AX105" s="32"/>
      <c r="AY105" s="32"/>
      <c r="AZ105" s="5"/>
      <c r="BA105" s="5"/>
      <c r="BB105" s="5"/>
      <c r="BC105" s="5"/>
      <c r="BD105" s="5"/>
      <c r="BE105" s="5"/>
      <c r="BF105" s="5"/>
    </row>
    <row r="106" spans="2:58" s="141" customFormat="1" x14ac:dyDescent="0.25">
      <c r="B106" s="128"/>
      <c r="C106" s="109"/>
      <c r="D106" s="109"/>
      <c r="E106" s="129"/>
      <c r="F106" s="42"/>
      <c r="G106" s="5"/>
      <c r="H106" s="158"/>
      <c r="I106" s="171"/>
      <c r="J106" s="172"/>
      <c r="K106" s="161"/>
      <c r="L106" s="162"/>
      <c r="M106" s="162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32"/>
      <c r="AX106" s="32"/>
      <c r="AY106" s="32"/>
      <c r="AZ106" s="5"/>
      <c r="BA106" s="5"/>
      <c r="BB106" s="5"/>
      <c r="BC106" s="5"/>
      <c r="BD106" s="5"/>
      <c r="BE106" s="5"/>
      <c r="BF106" s="5"/>
    </row>
    <row r="107" spans="2:58" s="141" customFormat="1" x14ac:dyDescent="0.25">
      <c r="B107" s="128"/>
      <c r="C107" s="109"/>
      <c r="D107" s="109"/>
      <c r="E107" s="129"/>
      <c r="F107" s="42"/>
      <c r="G107" s="5"/>
      <c r="H107" s="158"/>
      <c r="I107" s="171"/>
      <c r="J107" s="172"/>
      <c r="K107" s="161"/>
      <c r="L107" s="162"/>
      <c r="M107" s="162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32"/>
      <c r="AX107" s="32"/>
      <c r="AY107" s="32"/>
      <c r="AZ107" s="5"/>
      <c r="BA107" s="5"/>
      <c r="BB107" s="5"/>
      <c r="BC107" s="5"/>
      <c r="BD107" s="5"/>
      <c r="BE107" s="5"/>
      <c r="BF107" s="5"/>
    </row>
    <row r="108" spans="2:58" s="141" customFormat="1" x14ac:dyDescent="0.25">
      <c r="B108" s="128"/>
      <c r="C108" s="109"/>
      <c r="D108" s="109"/>
      <c r="E108" s="129"/>
      <c r="F108" s="42"/>
      <c r="G108" s="5"/>
      <c r="H108" s="158"/>
      <c r="I108" s="171"/>
      <c r="J108" s="172"/>
      <c r="K108" s="161"/>
      <c r="L108" s="162"/>
      <c r="M108" s="162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32"/>
      <c r="AX108" s="32"/>
      <c r="AY108" s="32"/>
      <c r="AZ108" s="5"/>
      <c r="BA108" s="5"/>
      <c r="BB108" s="5"/>
      <c r="BC108" s="5"/>
      <c r="BD108" s="5"/>
      <c r="BE108" s="5"/>
      <c r="BF108" s="5"/>
    </row>
    <row r="109" spans="2:58" s="141" customFormat="1" x14ac:dyDescent="0.25">
      <c r="B109" s="128"/>
      <c r="C109" s="109"/>
      <c r="D109" s="109"/>
      <c r="E109" s="129"/>
      <c r="F109" s="42"/>
      <c r="G109" s="5"/>
      <c r="H109" s="158"/>
      <c r="I109" s="171"/>
      <c r="J109" s="172"/>
      <c r="K109" s="161"/>
      <c r="L109" s="162"/>
      <c r="M109" s="162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32"/>
      <c r="AX109" s="32"/>
      <c r="AY109" s="32"/>
      <c r="AZ109" s="5"/>
      <c r="BA109" s="5"/>
      <c r="BB109" s="5"/>
      <c r="BC109" s="5"/>
      <c r="BD109" s="5"/>
      <c r="BE109" s="5"/>
      <c r="BF109" s="5"/>
    </row>
    <row r="110" spans="2:58" s="141" customFormat="1" x14ac:dyDescent="0.25">
      <c r="B110" s="128"/>
      <c r="C110" s="109"/>
      <c r="D110" s="109"/>
      <c r="E110" s="129"/>
      <c r="F110" s="42"/>
      <c r="G110" s="5"/>
      <c r="H110" s="158"/>
      <c r="I110" s="171"/>
      <c r="J110" s="172"/>
      <c r="K110" s="161"/>
      <c r="L110" s="162"/>
      <c r="M110" s="162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32"/>
      <c r="AX110" s="32"/>
      <c r="AY110" s="32"/>
      <c r="AZ110" s="5"/>
      <c r="BA110" s="5"/>
      <c r="BB110" s="5"/>
      <c r="BC110" s="5"/>
      <c r="BD110" s="5"/>
      <c r="BE110" s="5"/>
      <c r="BF110" s="5"/>
    </row>
    <row r="111" spans="2:58" s="141" customFormat="1" x14ac:dyDescent="0.25">
      <c r="B111" s="128"/>
      <c r="C111" s="109"/>
      <c r="D111" s="109"/>
      <c r="E111" s="129"/>
      <c r="F111" s="42"/>
      <c r="G111" s="5"/>
      <c r="H111" s="158"/>
      <c r="I111" s="171"/>
      <c r="J111" s="172"/>
      <c r="K111" s="161"/>
      <c r="L111" s="162"/>
      <c r="M111" s="162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32"/>
      <c r="AX111" s="32"/>
      <c r="AY111" s="32"/>
      <c r="AZ111" s="5"/>
      <c r="BA111" s="5"/>
      <c r="BB111" s="5"/>
      <c r="BC111" s="5"/>
      <c r="BD111" s="5"/>
      <c r="BE111" s="5"/>
      <c r="BF111" s="5"/>
    </row>
    <row r="112" spans="2:58" s="141" customFormat="1" x14ac:dyDescent="0.25">
      <c r="B112" s="128"/>
      <c r="C112" s="109"/>
      <c r="D112" s="109"/>
      <c r="E112" s="129"/>
      <c r="F112" s="42"/>
      <c r="G112" s="5"/>
      <c r="H112" s="158"/>
      <c r="I112" s="171"/>
      <c r="J112" s="172"/>
      <c r="K112" s="161"/>
      <c r="L112" s="162"/>
      <c r="M112" s="162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32"/>
      <c r="AX112" s="32"/>
      <c r="AY112" s="32"/>
      <c r="AZ112" s="5"/>
      <c r="BA112" s="5"/>
      <c r="BB112" s="5"/>
      <c r="BC112" s="5"/>
      <c r="BD112" s="5"/>
      <c r="BE112" s="5"/>
      <c r="BF112" s="5"/>
    </row>
    <row r="113" spans="2:58" s="141" customFormat="1" x14ac:dyDescent="0.25">
      <c r="B113" s="128"/>
      <c r="C113" s="109"/>
      <c r="D113" s="109"/>
      <c r="E113" s="129"/>
      <c r="F113" s="42"/>
      <c r="G113" s="5"/>
      <c r="H113" s="158"/>
      <c r="I113" s="171"/>
      <c r="J113" s="172"/>
      <c r="K113" s="161"/>
      <c r="L113" s="162"/>
      <c r="M113" s="162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32"/>
      <c r="AX113" s="32"/>
      <c r="AY113" s="32"/>
      <c r="AZ113" s="5"/>
      <c r="BA113" s="5"/>
      <c r="BB113" s="5"/>
      <c r="BC113" s="5"/>
      <c r="BD113" s="5"/>
      <c r="BE113" s="5"/>
      <c r="BF113" s="5"/>
    </row>
    <row r="114" spans="2:58" s="141" customFormat="1" x14ac:dyDescent="0.25">
      <c r="B114" s="128"/>
      <c r="C114" s="109"/>
      <c r="D114" s="109"/>
      <c r="E114" s="129"/>
      <c r="F114" s="42"/>
      <c r="G114" s="5"/>
      <c r="H114" s="158"/>
      <c r="I114" s="171"/>
      <c r="J114" s="172"/>
      <c r="K114" s="161"/>
      <c r="L114" s="162"/>
      <c r="M114" s="162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32"/>
      <c r="AX114" s="32"/>
      <c r="AY114" s="32"/>
      <c r="AZ114" s="5"/>
      <c r="BA114" s="5"/>
      <c r="BB114" s="5"/>
      <c r="BC114" s="5"/>
      <c r="BD114" s="5"/>
      <c r="BE114" s="5"/>
      <c r="BF114" s="5"/>
    </row>
    <row r="115" spans="2:58" s="141" customFormat="1" x14ac:dyDescent="0.25">
      <c r="B115" s="128"/>
      <c r="C115" s="109"/>
      <c r="D115" s="109"/>
      <c r="E115" s="129"/>
      <c r="F115" s="42"/>
      <c r="G115" s="5"/>
      <c r="H115" s="158"/>
      <c r="I115" s="171"/>
      <c r="J115" s="172"/>
      <c r="K115" s="161"/>
      <c r="L115" s="162"/>
      <c r="M115" s="162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32"/>
      <c r="AX115" s="32"/>
      <c r="AY115" s="32"/>
      <c r="AZ115" s="5"/>
      <c r="BA115" s="5"/>
      <c r="BB115" s="5"/>
      <c r="BC115" s="5"/>
      <c r="BD115" s="5"/>
      <c r="BE115" s="5"/>
      <c r="BF115" s="5"/>
    </row>
    <row r="116" spans="2:58" s="141" customFormat="1" x14ac:dyDescent="0.25">
      <c r="B116" s="128"/>
      <c r="C116" s="109"/>
      <c r="D116" s="109"/>
      <c r="E116" s="129"/>
      <c r="F116" s="42"/>
      <c r="G116" s="5"/>
      <c r="H116" s="158"/>
      <c r="I116" s="171"/>
      <c r="J116" s="172"/>
      <c r="K116" s="161"/>
      <c r="L116" s="162"/>
      <c r="M116" s="162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32"/>
      <c r="AX116" s="32"/>
      <c r="AY116" s="32"/>
      <c r="AZ116" s="5"/>
      <c r="BA116" s="5"/>
      <c r="BB116" s="5"/>
      <c r="BC116" s="5"/>
      <c r="BD116" s="5"/>
      <c r="BE116" s="5"/>
      <c r="BF116" s="5"/>
    </row>
    <row r="117" spans="2:58" s="141" customFormat="1" x14ac:dyDescent="0.25">
      <c r="B117" s="128"/>
      <c r="C117" s="109"/>
      <c r="D117" s="109"/>
      <c r="E117" s="129"/>
      <c r="F117" s="42"/>
      <c r="G117" s="5"/>
      <c r="H117" s="158"/>
      <c r="I117" s="171"/>
      <c r="J117" s="172"/>
      <c r="K117" s="161"/>
      <c r="L117" s="162"/>
      <c r="M117" s="162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32"/>
      <c r="AX117" s="32"/>
      <c r="AY117" s="32"/>
      <c r="AZ117" s="5"/>
      <c r="BA117" s="5"/>
      <c r="BB117" s="5"/>
      <c r="BC117" s="5"/>
      <c r="BD117" s="5"/>
      <c r="BE117" s="5"/>
      <c r="BF117" s="5"/>
    </row>
    <row r="118" spans="2:58" s="141" customFormat="1" x14ac:dyDescent="0.25">
      <c r="B118" s="128"/>
      <c r="C118" s="109"/>
      <c r="D118" s="109"/>
      <c r="E118" s="129"/>
      <c r="F118" s="42"/>
      <c r="G118" s="5"/>
      <c r="H118" s="158"/>
      <c r="I118" s="171"/>
      <c r="J118" s="172"/>
      <c r="K118" s="161"/>
      <c r="L118" s="162"/>
      <c r="M118" s="162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32"/>
      <c r="AX118" s="32"/>
      <c r="AY118" s="32"/>
      <c r="AZ118" s="5"/>
      <c r="BA118" s="5"/>
      <c r="BB118" s="5"/>
      <c r="BC118" s="5"/>
      <c r="BD118" s="5"/>
      <c r="BE118" s="5"/>
      <c r="BF118" s="5"/>
    </row>
    <row r="119" spans="2:58" s="141" customFormat="1" x14ac:dyDescent="0.25">
      <c r="B119" s="128"/>
      <c r="C119" s="109"/>
      <c r="D119" s="109"/>
      <c r="E119" s="129"/>
      <c r="F119" s="42"/>
      <c r="G119" s="5"/>
      <c r="H119" s="158"/>
      <c r="I119" s="171"/>
      <c r="J119" s="172"/>
      <c r="K119" s="161"/>
      <c r="L119" s="162"/>
      <c r="M119" s="162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32"/>
      <c r="AX119" s="32"/>
      <c r="AY119" s="32"/>
      <c r="AZ119" s="5"/>
      <c r="BA119" s="5"/>
      <c r="BB119" s="5"/>
      <c r="BC119" s="5"/>
      <c r="BD119" s="5"/>
      <c r="BE119" s="5"/>
      <c r="BF119" s="5"/>
    </row>
    <row r="120" spans="2:58" s="141" customFormat="1" x14ac:dyDescent="0.25">
      <c r="B120" s="128"/>
      <c r="C120" s="109"/>
      <c r="D120" s="109"/>
      <c r="E120" s="129"/>
      <c r="F120" s="42"/>
      <c r="G120" s="5"/>
      <c r="H120" s="158"/>
      <c r="I120" s="171"/>
      <c r="J120" s="172"/>
      <c r="K120" s="161"/>
      <c r="L120" s="162"/>
      <c r="M120" s="162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32"/>
      <c r="AX120" s="32"/>
      <c r="AY120" s="32"/>
      <c r="AZ120" s="5"/>
      <c r="BA120" s="5"/>
      <c r="BB120" s="5"/>
      <c r="BC120" s="5"/>
      <c r="BD120" s="5"/>
      <c r="BE120" s="5"/>
      <c r="BF120" s="5"/>
    </row>
    <row r="121" spans="2:58" s="141" customFormat="1" x14ac:dyDescent="0.25">
      <c r="B121" s="128"/>
      <c r="C121" s="109"/>
      <c r="D121" s="109"/>
      <c r="E121" s="129"/>
      <c r="F121" s="42"/>
      <c r="G121" s="5"/>
      <c r="H121" s="158"/>
      <c r="I121" s="171"/>
      <c r="J121" s="172"/>
      <c r="K121" s="161"/>
      <c r="L121" s="162"/>
      <c r="M121" s="162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32"/>
      <c r="AX121" s="32"/>
      <c r="AY121" s="32"/>
      <c r="AZ121" s="5"/>
      <c r="BA121" s="5"/>
      <c r="BB121" s="5"/>
      <c r="BC121" s="5"/>
      <c r="BD121" s="5"/>
      <c r="BE121" s="5"/>
      <c r="BF121" s="5"/>
    </row>
    <row r="122" spans="2:58" s="141" customFormat="1" x14ac:dyDescent="0.25">
      <c r="B122" s="128"/>
      <c r="C122" s="109"/>
      <c r="D122" s="109"/>
      <c r="E122" s="129"/>
      <c r="F122" s="42"/>
      <c r="G122" s="5"/>
      <c r="H122" s="158"/>
      <c r="I122" s="171"/>
      <c r="J122" s="172"/>
      <c r="K122" s="161"/>
      <c r="L122" s="162"/>
      <c r="M122" s="162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32"/>
      <c r="AX122" s="32"/>
      <c r="AY122" s="32"/>
      <c r="AZ122" s="5"/>
      <c r="BA122" s="5"/>
      <c r="BB122" s="5"/>
      <c r="BC122" s="5"/>
      <c r="BD122" s="5"/>
      <c r="BE122" s="5"/>
      <c r="BF122" s="5"/>
    </row>
    <row r="123" spans="2:58" s="141" customFormat="1" x14ac:dyDescent="0.25">
      <c r="B123" s="128"/>
      <c r="C123" s="109"/>
      <c r="D123" s="109"/>
      <c r="E123" s="129"/>
      <c r="F123" s="42"/>
      <c r="G123" s="5"/>
      <c r="H123" s="158"/>
      <c r="I123" s="171"/>
      <c r="J123" s="172"/>
      <c r="K123" s="161"/>
      <c r="L123" s="162"/>
      <c r="M123" s="162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32"/>
      <c r="AX123" s="32"/>
      <c r="AY123" s="32"/>
      <c r="AZ123" s="5"/>
      <c r="BA123" s="5"/>
      <c r="BB123" s="5"/>
      <c r="BC123" s="5"/>
      <c r="BD123" s="5"/>
      <c r="BE123" s="5"/>
      <c r="BF123" s="5"/>
    </row>
    <row r="124" spans="2:58" s="141" customFormat="1" x14ac:dyDescent="0.25">
      <c r="B124" s="128"/>
      <c r="C124" s="109"/>
      <c r="D124" s="109"/>
      <c r="E124" s="129"/>
      <c r="F124" s="42"/>
      <c r="G124" s="5"/>
      <c r="H124" s="158"/>
      <c r="I124" s="171"/>
      <c r="J124" s="172"/>
      <c r="K124" s="161"/>
      <c r="L124" s="162"/>
      <c r="M124" s="162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32"/>
      <c r="AX124" s="32"/>
      <c r="AY124" s="32"/>
      <c r="AZ124" s="5"/>
      <c r="BA124" s="5"/>
      <c r="BB124" s="5"/>
      <c r="BC124" s="5"/>
      <c r="BD124" s="5"/>
      <c r="BE124" s="5"/>
      <c r="BF124" s="5"/>
    </row>
    <row r="125" spans="2:58" s="141" customFormat="1" x14ac:dyDescent="0.25">
      <c r="B125" s="128"/>
      <c r="C125" s="109"/>
      <c r="D125" s="109"/>
      <c r="E125" s="129"/>
      <c r="F125" s="42"/>
      <c r="G125" s="5"/>
      <c r="H125" s="158"/>
      <c r="I125" s="171"/>
      <c r="J125" s="172"/>
      <c r="K125" s="161"/>
      <c r="L125" s="162"/>
      <c r="M125" s="162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32"/>
      <c r="AX125" s="32"/>
      <c r="AY125" s="32"/>
      <c r="AZ125" s="5"/>
      <c r="BA125" s="5"/>
      <c r="BB125" s="5"/>
      <c r="BC125" s="5"/>
      <c r="BD125" s="5"/>
      <c r="BE125" s="5"/>
      <c r="BF125" s="5"/>
    </row>
    <row r="126" spans="2:58" s="141" customFormat="1" x14ac:dyDescent="0.25">
      <c r="B126" s="128"/>
      <c r="C126" s="109"/>
      <c r="D126" s="109"/>
      <c r="E126" s="129"/>
      <c r="F126" s="42"/>
      <c r="G126" s="5"/>
      <c r="H126" s="158"/>
      <c r="I126" s="171"/>
      <c r="J126" s="172"/>
      <c r="K126" s="161"/>
      <c r="L126" s="162"/>
      <c r="M126" s="162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32"/>
      <c r="AX126" s="32"/>
      <c r="AY126" s="32"/>
      <c r="AZ126" s="5"/>
      <c r="BA126" s="5"/>
      <c r="BB126" s="5"/>
      <c r="BC126" s="5"/>
      <c r="BD126" s="5"/>
      <c r="BE126" s="5"/>
      <c r="BF126" s="5"/>
    </row>
    <row r="127" spans="2:58" s="141" customFormat="1" x14ac:dyDescent="0.25">
      <c r="B127" s="128"/>
      <c r="C127" s="109"/>
      <c r="D127" s="109"/>
      <c r="E127" s="129"/>
      <c r="F127" s="42"/>
      <c r="G127" s="5"/>
      <c r="H127" s="158"/>
      <c r="I127" s="171"/>
      <c r="J127" s="172"/>
      <c r="K127" s="161"/>
      <c r="L127" s="162"/>
      <c r="M127" s="162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32"/>
      <c r="AX127" s="32"/>
      <c r="AY127" s="32"/>
      <c r="AZ127" s="5"/>
      <c r="BA127" s="5"/>
      <c r="BB127" s="5"/>
      <c r="BC127" s="5"/>
      <c r="BD127" s="5"/>
      <c r="BE127" s="5"/>
      <c r="BF127" s="5"/>
    </row>
    <row r="128" spans="2:58" s="141" customFormat="1" x14ac:dyDescent="0.25">
      <c r="B128" s="128"/>
      <c r="C128" s="109"/>
      <c r="D128" s="109"/>
      <c r="E128" s="129"/>
      <c r="F128" s="42"/>
      <c r="G128" s="5"/>
      <c r="H128" s="158"/>
      <c r="I128" s="171"/>
      <c r="J128" s="172"/>
      <c r="K128" s="161"/>
      <c r="L128" s="162"/>
      <c r="M128" s="162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32"/>
      <c r="AX128" s="32"/>
      <c r="AY128" s="32"/>
      <c r="AZ128" s="5"/>
      <c r="BA128" s="5"/>
      <c r="BB128" s="5"/>
      <c r="BC128" s="5"/>
      <c r="BD128" s="5"/>
      <c r="BE128" s="5"/>
      <c r="BF128" s="5"/>
    </row>
    <row r="129" spans="2:58" s="141" customFormat="1" x14ac:dyDescent="0.25">
      <c r="B129" s="128"/>
      <c r="C129" s="109"/>
      <c r="D129" s="109"/>
      <c r="E129" s="129"/>
      <c r="F129" s="42"/>
      <c r="G129" s="5"/>
      <c r="H129" s="158"/>
      <c r="I129" s="171"/>
      <c r="J129" s="172"/>
      <c r="K129" s="161"/>
      <c r="L129" s="162"/>
      <c r="M129" s="162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32"/>
      <c r="AX129" s="32"/>
      <c r="AY129" s="32"/>
      <c r="AZ129" s="5"/>
      <c r="BA129" s="5"/>
      <c r="BB129" s="5"/>
      <c r="BC129" s="5"/>
      <c r="BD129" s="5"/>
      <c r="BE129" s="5"/>
      <c r="BF129" s="5"/>
    </row>
    <row r="130" spans="2:58" s="141" customFormat="1" x14ac:dyDescent="0.25">
      <c r="B130" s="128"/>
      <c r="C130" s="109"/>
      <c r="D130" s="109"/>
      <c r="E130" s="129"/>
      <c r="F130" s="42"/>
      <c r="G130" s="5"/>
      <c r="H130" s="158"/>
      <c r="I130" s="171"/>
      <c r="J130" s="172"/>
      <c r="K130" s="161"/>
      <c r="L130" s="162"/>
      <c r="M130" s="162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32"/>
      <c r="AX130" s="32"/>
      <c r="AY130" s="32"/>
      <c r="AZ130" s="5"/>
      <c r="BA130" s="5"/>
      <c r="BB130" s="5"/>
      <c r="BC130" s="5"/>
      <c r="BD130" s="5"/>
      <c r="BE130" s="5"/>
      <c r="BF130" s="5"/>
    </row>
    <row r="131" spans="2:58" s="141" customFormat="1" x14ac:dyDescent="0.25">
      <c r="B131" s="128"/>
      <c r="C131" s="109"/>
      <c r="D131" s="109"/>
      <c r="E131" s="129"/>
      <c r="F131" s="42"/>
      <c r="G131" s="5"/>
      <c r="H131" s="158"/>
      <c r="I131" s="171"/>
      <c r="J131" s="172"/>
      <c r="K131" s="161"/>
      <c r="L131" s="162"/>
      <c r="M131" s="162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32"/>
      <c r="AX131" s="32"/>
      <c r="AY131" s="32"/>
      <c r="AZ131" s="5"/>
      <c r="BA131" s="5"/>
      <c r="BB131" s="5"/>
      <c r="BC131" s="5"/>
      <c r="BD131" s="5"/>
      <c r="BE131" s="5"/>
      <c r="BF131" s="5"/>
    </row>
    <row r="132" spans="2:58" s="141" customFormat="1" x14ac:dyDescent="0.25">
      <c r="B132" s="128"/>
      <c r="C132" s="109"/>
      <c r="D132" s="109"/>
      <c r="E132" s="129"/>
      <c r="F132" s="42"/>
      <c r="G132" s="5"/>
      <c r="H132" s="158"/>
      <c r="I132" s="171"/>
      <c r="J132" s="172"/>
      <c r="K132" s="161"/>
      <c r="L132" s="162"/>
      <c r="M132" s="162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32"/>
      <c r="AX132" s="32"/>
      <c r="AY132" s="32"/>
      <c r="AZ132" s="5"/>
      <c r="BA132" s="5"/>
      <c r="BB132" s="5"/>
      <c r="BC132" s="5"/>
      <c r="BD132" s="5"/>
      <c r="BE132" s="5"/>
      <c r="BF132" s="5"/>
    </row>
    <row r="133" spans="2:58" s="141" customFormat="1" x14ac:dyDescent="0.25">
      <c r="B133" s="128"/>
      <c r="C133" s="109"/>
      <c r="D133" s="109"/>
      <c r="E133" s="129"/>
      <c r="F133" s="42"/>
      <c r="G133" s="5"/>
      <c r="H133" s="158"/>
      <c r="I133" s="171"/>
      <c r="J133" s="172"/>
      <c r="K133" s="161"/>
      <c r="L133" s="162"/>
      <c r="M133" s="162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32"/>
      <c r="AX133" s="32"/>
      <c r="AY133" s="32"/>
      <c r="AZ133" s="5"/>
      <c r="BA133" s="5"/>
      <c r="BB133" s="5"/>
      <c r="BC133" s="5"/>
      <c r="BD133" s="5"/>
      <c r="BE133" s="5"/>
      <c r="BF133" s="5"/>
    </row>
    <row r="134" spans="2:58" s="141" customFormat="1" x14ac:dyDescent="0.25">
      <c r="B134" s="128"/>
      <c r="C134" s="109"/>
      <c r="D134" s="109"/>
      <c r="E134" s="129"/>
      <c r="F134" s="42"/>
      <c r="G134" s="5"/>
      <c r="H134" s="158"/>
      <c r="I134" s="171"/>
      <c r="J134" s="172"/>
      <c r="K134" s="161"/>
      <c r="L134" s="162"/>
      <c r="M134" s="162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32"/>
      <c r="AX134" s="32"/>
      <c r="AY134" s="32"/>
      <c r="AZ134" s="5"/>
      <c r="BA134" s="5"/>
      <c r="BB134" s="5"/>
      <c r="BC134" s="5"/>
      <c r="BD134" s="5"/>
      <c r="BE134" s="5"/>
      <c r="BF134" s="5"/>
    </row>
    <row r="135" spans="2:58" s="141" customFormat="1" x14ac:dyDescent="0.25">
      <c r="B135" s="128"/>
      <c r="C135" s="109"/>
      <c r="D135" s="109"/>
      <c r="E135" s="129"/>
      <c r="F135" s="42"/>
      <c r="G135" s="5"/>
      <c r="H135" s="158"/>
      <c r="I135" s="171"/>
      <c r="J135" s="172"/>
      <c r="K135" s="161"/>
      <c r="L135" s="162"/>
      <c r="M135" s="162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32"/>
      <c r="AX135" s="32"/>
      <c r="AY135" s="32"/>
      <c r="AZ135" s="5"/>
      <c r="BA135" s="5"/>
      <c r="BB135" s="5"/>
      <c r="BC135" s="5"/>
      <c r="BD135" s="5"/>
      <c r="BE135" s="5"/>
      <c r="BF135" s="5"/>
    </row>
    <row r="136" spans="2:58" s="141" customFormat="1" x14ac:dyDescent="0.25">
      <c r="B136" s="128"/>
      <c r="C136" s="109"/>
      <c r="D136" s="109"/>
      <c r="E136" s="129"/>
      <c r="F136" s="42"/>
      <c r="G136" s="5"/>
      <c r="H136" s="158"/>
      <c r="I136" s="171"/>
      <c r="J136" s="172"/>
      <c r="K136" s="161"/>
      <c r="L136" s="162"/>
      <c r="M136" s="162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32"/>
      <c r="AX136" s="32"/>
      <c r="AY136" s="32"/>
      <c r="AZ136" s="5"/>
      <c r="BA136" s="5"/>
      <c r="BB136" s="5"/>
      <c r="BC136" s="5"/>
      <c r="BD136" s="5"/>
      <c r="BE136" s="5"/>
      <c r="BF136" s="5"/>
    </row>
    <row r="137" spans="2:58" s="141" customFormat="1" x14ac:dyDescent="0.25">
      <c r="B137" s="128"/>
      <c r="C137" s="109"/>
      <c r="D137" s="109"/>
      <c r="E137" s="129"/>
      <c r="F137" s="42"/>
      <c r="G137" s="5"/>
      <c r="H137" s="158"/>
      <c r="I137" s="171"/>
      <c r="J137" s="172"/>
      <c r="K137" s="161"/>
      <c r="L137" s="162"/>
      <c r="M137" s="162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32"/>
      <c r="AX137" s="32"/>
      <c r="AY137" s="32"/>
      <c r="AZ137" s="5"/>
      <c r="BA137" s="5"/>
      <c r="BB137" s="5"/>
      <c r="BC137" s="5"/>
      <c r="BD137" s="5"/>
      <c r="BE137" s="5"/>
      <c r="BF137" s="5"/>
    </row>
    <row r="138" spans="2:58" s="141" customFormat="1" x14ac:dyDescent="0.25">
      <c r="B138" s="128"/>
      <c r="C138" s="109"/>
      <c r="D138" s="109"/>
      <c r="E138" s="129"/>
      <c r="F138" s="42"/>
      <c r="G138" s="5"/>
      <c r="H138" s="158"/>
      <c r="I138" s="171"/>
      <c r="J138" s="172"/>
      <c r="K138" s="161"/>
      <c r="L138" s="162"/>
      <c r="M138" s="162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32"/>
      <c r="AX138" s="32"/>
      <c r="AY138" s="32"/>
      <c r="AZ138" s="5"/>
      <c r="BA138" s="5"/>
      <c r="BB138" s="5"/>
      <c r="BC138" s="5"/>
      <c r="BD138" s="5"/>
      <c r="BE138" s="5"/>
      <c r="BF138" s="5"/>
    </row>
    <row r="139" spans="2:58" s="141" customFormat="1" x14ac:dyDescent="0.25">
      <c r="B139" s="128"/>
      <c r="C139" s="109"/>
      <c r="D139" s="109"/>
      <c r="E139" s="129"/>
      <c r="F139" s="42"/>
      <c r="G139" s="5"/>
      <c r="H139" s="158"/>
      <c r="I139" s="171"/>
      <c r="J139" s="172"/>
      <c r="K139" s="161"/>
      <c r="L139" s="162"/>
      <c r="M139" s="162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32"/>
      <c r="AX139" s="32"/>
      <c r="AY139" s="32"/>
      <c r="AZ139" s="5"/>
      <c r="BA139" s="5"/>
      <c r="BB139" s="5"/>
      <c r="BC139" s="5"/>
      <c r="BD139" s="5"/>
      <c r="BE139" s="5"/>
      <c r="BF139" s="5"/>
    </row>
    <row r="140" spans="2:58" s="141" customFormat="1" x14ac:dyDescent="0.25">
      <c r="B140" s="128"/>
      <c r="C140" s="109"/>
      <c r="D140" s="109"/>
      <c r="E140" s="129"/>
      <c r="F140" s="42"/>
      <c r="G140" s="5"/>
      <c r="H140" s="158"/>
      <c r="I140" s="171"/>
      <c r="J140" s="172"/>
      <c r="K140" s="161"/>
      <c r="L140" s="162"/>
      <c r="M140" s="162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32"/>
      <c r="AX140" s="32"/>
      <c r="AY140" s="32"/>
      <c r="AZ140" s="5"/>
      <c r="BA140" s="5"/>
      <c r="BB140" s="5"/>
      <c r="BC140" s="5"/>
      <c r="BD140" s="5"/>
      <c r="BE140" s="5"/>
      <c r="BF140" s="5"/>
    </row>
    <row r="141" spans="2:58" s="141" customFormat="1" x14ac:dyDescent="0.25">
      <c r="B141" s="128"/>
      <c r="C141" s="109"/>
      <c r="D141" s="109"/>
      <c r="E141" s="129"/>
      <c r="F141" s="42"/>
      <c r="G141" s="5"/>
      <c r="H141" s="158"/>
      <c r="I141" s="171"/>
      <c r="J141" s="172"/>
      <c r="K141" s="161"/>
      <c r="L141" s="162"/>
      <c r="M141" s="162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32"/>
      <c r="AX141" s="32"/>
      <c r="AY141" s="32"/>
      <c r="AZ141" s="5"/>
      <c r="BA141" s="5"/>
      <c r="BB141" s="5"/>
      <c r="BC141" s="5"/>
      <c r="BD141" s="5"/>
      <c r="BE141" s="5"/>
      <c r="BF141" s="5"/>
    </row>
    <row r="142" spans="2:58" s="141" customFormat="1" x14ac:dyDescent="0.25">
      <c r="B142" s="128"/>
      <c r="C142" s="109"/>
      <c r="D142" s="109"/>
      <c r="E142" s="129"/>
      <c r="F142" s="42"/>
      <c r="G142" s="5"/>
      <c r="H142" s="158"/>
      <c r="I142" s="171"/>
      <c r="J142" s="172"/>
      <c r="K142" s="161"/>
      <c r="L142" s="162"/>
      <c r="M142" s="162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32"/>
      <c r="AX142" s="32"/>
      <c r="AY142" s="32"/>
      <c r="AZ142" s="5"/>
      <c r="BA142" s="5"/>
      <c r="BB142" s="5"/>
      <c r="BC142" s="5"/>
      <c r="BD142" s="5"/>
      <c r="BE142" s="5"/>
      <c r="BF142" s="5"/>
    </row>
    <row r="143" spans="2:58" s="141" customFormat="1" x14ac:dyDescent="0.25">
      <c r="B143" s="128"/>
      <c r="C143" s="109"/>
      <c r="D143" s="109"/>
      <c r="E143" s="129"/>
      <c r="F143" s="42"/>
      <c r="G143" s="5"/>
      <c r="H143" s="158"/>
      <c r="I143" s="171"/>
      <c r="J143" s="172"/>
      <c r="K143" s="161"/>
      <c r="L143" s="162"/>
      <c r="M143" s="162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32"/>
      <c r="AX143" s="32"/>
      <c r="AY143" s="32"/>
      <c r="AZ143" s="5"/>
      <c r="BA143" s="5"/>
      <c r="BB143" s="5"/>
      <c r="BC143" s="5"/>
      <c r="BD143" s="5"/>
      <c r="BE143" s="5"/>
      <c r="BF143" s="5"/>
    </row>
    <row r="144" spans="2:58" s="141" customFormat="1" x14ac:dyDescent="0.25">
      <c r="B144" s="128"/>
      <c r="C144" s="109"/>
      <c r="D144" s="109"/>
      <c r="E144" s="129"/>
      <c r="F144" s="42"/>
      <c r="G144" s="5"/>
      <c r="H144" s="158"/>
      <c r="I144" s="171"/>
      <c r="J144" s="172"/>
      <c r="K144" s="161"/>
      <c r="L144" s="162"/>
      <c r="M144" s="162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32"/>
      <c r="AX144" s="32"/>
      <c r="AY144" s="32"/>
      <c r="AZ144" s="5"/>
      <c r="BA144" s="5"/>
      <c r="BB144" s="5"/>
      <c r="BC144" s="5"/>
      <c r="BD144" s="5"/>
      <c r="BE144" s="5"/>
      <c r="BF144" s="5"/>
    </row>
    <row r="145" spans="2:58" s="141" customFormat="1" x14ac:dyDescent="0.25">
      <c r="B145" s="128"/>
      <c r="C145" s="109"/>
      <c r="D145" s="109"/>
      <c r="E145" s="129"/>
      <c r="F145" s="42"/>
      <c r="G145" s="5"/>
      <c r="H145" s="158"/>
      <c r="I145" s="171"/>
      <c r="J145" s="172"/>
      <c r="K145" s="161"/>
      <c r="L145" s="162"/>
      <c r="M145" s="162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32"/>
      <c r="AX145" s="32"/>
      <c r="AY145" s="32"/>
      <c r="AZ145" s="5"/>
      <c r="BA145" s="5"/>
      <c r="BB145" s="5"/>
      <c r="BC145" s="5"/>
      <c r="BD145" s="5"/>
      <c r="BE145" s="5"/>
      <c r="BF145" s="5"/>
    </row>
    <row r="146" spans="2:58" s="141" customFormat="1" x14ac:dyDescent="0.25">
      <c r="B146" s="128"/>
      <c r="C146" s="109"/>
      <c r="D146" s="109"/>
      <c r="E146" s="129"/>
      <c r="F146" s="42"/>
      <c r="G146" s="5"/>
      <c r="H146" s="158"/>
      <c r="I146" s="171"/>
      <c r="J146" s="172"/>
      <c r="K146" s="161"/>
      <c r="L146" s="162"/>
      <c r="M146" s="162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32"/>
      <c r="AX146" s="32"/>
      <c r="AY146" s="32"/>
      <c r="AZ146" s="5"/>
      <c r="BA146" s="5"/>
      <c r="BB146" s="5"/>
      <c r="BC146" s="5"/>
      <c r="BD146" s="5"/>
      <c r="BE146" s="5"/>
      <c r="BF146" s="5"/>
    </row>
    <row r="147" spans="2:58" s="141" customFormat="1" x14ac:dyDescent="0.25">
      <c r="B147" s="128"/>
      <c r="C147" s="109"/>
      <c r="D147" s="109"/>
      <c r="E147" s="129"/>
      <c r="F147" s="42"/>
      <c r="G147" s="5"/>
      <c r="H147" s="158"/>
      <c r="I147" s="171"/>
      <c r="J147" s="172"/>
      <c r="K147" s="161"/>
      <c r="L147" s="162"/>
      <c r="M147" s="162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32"/>
      <c r="AX147" s="32"/>
      <c r="AY147" s="32"/>
      <c r="AZ147" s="5"/>
      <c r="BA147" s="5"/>
      <c r="BB147" s="5"/>
      <c r="BC147" s="5"/>
      <c r="BD147" s="5"/>
      <c r="BE147" s="5"/>
      <c r="BF147" s="5"/>
    </row>
    <row r="148" spans="2:58" s="141" customFormat="1" x14ac:dyDescent="0.25">
      <c r="B148" s="128"/>
      <c r="C148" s="109"/>
      <c r="D148" s="109"/>
      <c r="E148" s="129"/>
      <c r="F148" s="42"/>
      <c r="G148" s="5"/>
      <c r="H148" s="158"/>
      <c r="I148" s="171"/>
      <c r="J148" s="172"/>
      <c r="K148" s="161"/>
      <c r="L148" s="162"/>
      <c r="M148" s="162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32"/>
      <c r="AX148" s="32"/>
      <c r="AY148" s="32"/>
      <c r="AZ148" s="5"/>
      <c r="BA148" s="5"/>
      <c r="BB148" s="5"/>
      <c r="BC148" s="5"/>
      <c r="BD148" s="5"/>
      <c r="BE148" s="5"/>
      <c r="BF148" s="5"/>
    </row>
    <row r="149" spans="2:58" s="141" customFormat="1" x14ac:dyDescent="0.25">
      <c r="B149" s="128"/>
      <c r="C149" s="109"/>
      <c r="D149" s="109"/>
      <c r="E149" s="129"/>
      <c r="F149" s="42"/>
      <c r="G149" s="5"/>
      <c r="H149" s="158"/>
      <c r="I149" s="171"/>
      <c r="J149" s="172"/>
      <c r="K149" s="161"/>
      <c r="L149" s="162"/>
      <c r="M149" s="162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32"/>
      <c r="AX149" s="32"/>
      <c r="AY149" s="32"/>
      <c r="AZ149" s="5"/>
      <c r="BA149" s="5"/>
      <c r="BB149" s="5"/>
      <c r="BC149" s="5"/>
      <c r="BD149" s="5"/>
      <c r="BE149" s="5"/>
      <c r="BF149" s="5"/>
    </row>
    <row r="150" spans="2:58" s="141" customFormat="1" x14ac:dyDescent="0.25">
      <c r="B150" s="128"/>
      <c r="C150" s="109"/>
      <c r="D150" s="109"/>
      <c r="E150" s="129"/>
      <c r="F150" s="42"/>
      <c r="G150" s="5"/>
      <c r="H150" s="158"/>
      <c r="I150" s="171"/>
      <c r="J150" s="172"/>
      <c r="K150" s="161"/>
      <c r="L150" s="162"/>
      <c r="M150" s="162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32"/>
      <c r="AX150" s="32"/>
      <c r="AY150" s="32"/>
      <c r="AZ150" s="5"/>
      <c r="BA150" s="5"/>
      <c r="BB150" s="5"/>
      <c r="BC150" s="5"/>
      <c r="BD150" s="5"/>
      <c r="BE150" s="5"/>
      <c r="BF150" s="5"/>
    </row>
    <row r="151" spans="2:58" s="141" customFormat="1" x14ac:dyDescent="0.25">
      <c r="B151" s="128"/>
      <c r="C151" s="109"/>
      <c r="D151" s="109"/>
      <c r="E151" s="129"/>
      <c r="F151" s="42"/>
      <c r="G151" s="5"/>
      <c r="H151" s="158"/>
      <c r="I151" s="171"/>
      <c r="J151" s="172"/>
      <c r="K151" s="161"/>
      <c r="L151" s="162"/>
      <c r="M151" s="162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32"/>
      <c r="AX151" s="32"/>
      <c r="AY151" s="32"/>
      <c r="AZ151" s="5"/>
      <c r="BA151" s="5"/>
      <c r="BB151" s="5"/>
      <c r="BC151" s="5"/>
      <c r="BD151" s="5"/>
      <c r="BE151" s="5"/>
      <c r="BF151" s="5"/>
    </row>
    <row r="152" spans="2:58" s="141" customFormat="1" x14ac:dyDescent="0.25">
      <c r="B152" s="128"/>
      <c r="C152" s="109"/>
      <c r="D152" s="109"/>
      <c r="E152" s="129"/>
      <c r="F152" s="42"/>
      <c r="G152" s="5"/>
      <c r="H152" s="158"/>
      <c r="I152" s="171"/>
      <c r="J152" s="172"/>
      <c r="K152" s="161"/>
      <c r="L152" s="162"/>
      <c r="M152" s="162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32"/>
      <c r="AX152" s="32"/>
      <c r="AY152" s="32"/>
      <c r="AZ152" s="5"/>
      <c r="BA152" s="5"/>
      <c r="BB152" s="5"/>
      <c r="BC152" s="5"/>
      <c r="BD152" s="5"/>
      <c r="BE152" s="5"/>
      <c r="BF152" s="5"/>
    </row>
    <row r="153" spans="2:58" s="141" customFormat="1" x14ac:dyDescent="0.25">
      <c r="B153" s="128"/>
      <c r="C153" s="109"/>
      <c r="D153" s="109"/>
      <c r="E153" s="129"/>
      <c r="F153" s="42"/>
      <c r="G153" s="5"/>
      <c r="H153" s="158"/>
      <c r="I153" s="171"/>
      <c r="J153" s="172"/>
      <c r="K153" s="161"/>
      <c r="L153" s="162"/>
      <c r="M153" s="162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32"/>
      <c r="AX153" s="32"/>
      <c r="AY153" s="32"/>
      <c r="AZ153" s="5"/>
      <c r="BA153" s="5"/>
      <c r="BB153" s="5"/>
      <c r="BC153" s="5"/>
      <c r="BD153" s="5"/>
      <c r="BE153" s="5"/>
      <c r="BF153" s="5"/>
    </row>
    <row r="154" spans="2:58" s="141" customFormat="1" x14ac:dyDescent="0.25">
      <c r="B154" s="128"/>
      <c r="C154" s="109"/>
      <c r="D154" s="109"/>
      <c r="E154" s="129"/>
      <c r="F154" s="42"/>
      <c r="G154" s="5"/>
      <c r="H154" s="158"/>
      <c r="I154" s="171"/>
      <c r="J154" s="172"/>
      <c r="K154" s="161"/>
      <c r="L154" s="162"/>
      <c r="M154" s="162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32"/>
      <c r="AX154" s="32"/>
      <c r="AY154" s="32"/>
      <c r="AZ154" s="5"/>
      <c r="BA154" s="5"/>
      <c r="BB154" s="5"/>
      <c r="BC154" s="5"/>
      <c r="BD154" s="5"/>
      <c r="BE154" s="5"/>
      <c r="BF154" s="5"/>
    </row>
    <row r="155" spans="2:58" s="141" customFormat="1" x14ac:dyDescent="0.25">
      <c r="B155" s="128"/>
      <c r="C155" s="109"/>
      <c r="D155" s="109"/>
      <c r="E155" s="129"/>
      <c r="F155" s="42"/>
      <c r="G155" s="5"/>
      <c r="H155" s="158"/>
      <c r="I155" s="171"/>
      <c r="J155" s="172"/>
      <c r="K155" s="161"/>
      <c r="L155" s="162"/>
      <c r="M155" s="162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32"/>
      <c r="AX155" s="32"/>
      <c r="AY155" s="32"/>
      <c r="AZ155" s="5"/>
      <c r="BA155" s="5"/>
      <c r="BB155" s="5"/>
      <c r="BC155" s="5"/>
      <c r="BD155" s="5"/>
      <c r="BE155" s="5"/>
      <c r="BF155" s="5"/>
    </row>
    <row r="156" spans="2:58" s="141" customFormat="1" x14ac:dyDescent="0.25">
      <c r="B156" s="128"/>
      <c r="C156" s="109"/>
      <c r="D156" s="109"/>
      <c r="E156" s="129"/>
      <c r="F156" s="42"/>
      <c r="G156" s="5"/>
      <c r="H156" s="158"/>
      <c r="I156" s="171"/>
      <c r="J156" s="172"/>
      <c r="K156" s="161"/>
      <c r="L156" s="162"/>
      <c r="M156" s="162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32"/>
      <c r="AX156" s="32"/>
      <c r="AY156" s="32"/>
      <c r="AZ156" s="5"/>
      <c r="BA156" s="5"/>
      <c r="BB156" s="5"/>
      <c r="BC156" s="5"/>
      <c r="BD156" s="5"/>
      <c r="BE156" s="5"/>
      <c r="BF156" s="5"/>
    </row>
    <row r="157" spans="2:58" s="141" customFormat="1" x14ac:dyDescent="0.25">
      <c r="B157" s="128"/>
      <c r="C157" s="109"/>
      <c r="D157" s="109"/>
      <c r="E157" s="129"/>
      <c r="F157" s="42"/>
      <c r="G157" s="5"/>
      <c r="H157" s="158"/>
      <c r="I157" s="171"/>
      <c r="J157" s="172"/>
      <c r="K157" s="161"/>
      <c r="L157" s="162"/>
      <c r="M157" s="162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32"/>
      <c r="AX157" s="32"/>
      <c r="AY157" s="32"/>
      <c r="AZ157" s="5"/>
      <c r="BA157" s="5"/>
      <c r="BB157" s="5"/>
      <c r="BC157" s="5"/>
      <c r="BD157" s="5"/>
      <c r="BE157" s="5"/>
      <c r="BF157" s="5"/>
    </row>
    <row r="158" spans="2:58" s="141" customFormat="1" x14ac:dyDescent="0.25">
      <c r="B158" s="128"/>
      <c r="C158" s="109"/>
      <c r="D158" s="109"/>
      <c r="E158" s="129"/>
      <c r="F158" s="42"/>
      <c r="G158" s="5"/>
      <c r="H158" s="158"/>
      <c r="I158" s="171"/>
      <c r="J158" s="172"/>
      <c r="K158" s="161"/>
      <c r="L158" s="162"/>
      <c r="M158" s="162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32"/>
      <c r="AX158" s="32"/>
      <c r="AY158" s="32"/>
      <c r="AZ158" s="5"/>
      <c r="BA158" s="5"/>
      <c r="BB158" s="5"/>
      <c r="BC158" s="5"/>
      <c r="BD158" s="5"/>
      <c r="BE158" s="5"/>
      <c r="BF158" s="5"/>
    </row>
    <row r="159" spans="2:58" s="141" customFormat="1" x14ac:dyDescent="0.25">
      <c r="B159" s="128"/>
      <c r="C159" s="109"/>
      <c r="D159" s="109"/>
      <c r="E159" s="129"/>
      <c r="F159" s="42"/>
      <c r="G159" s="5"/>
      <c r="H159" s="158"/>
      <c r="I159" s="171"/>
      <c r="J159" s="172"/>
      <c r="K159" s="161"/>
      <c r="L159" s="162"/>
      <c r="M159" s="162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32"/>
      <c r="AX159" s="32"/>
      <c r="AY159" s="32"/>
      <c r="AZ159" s="5"/>
      <c r="BA159" s="5"/>
      <c r="BB159" s="5"/>
      <c r="BC159" s="5"/>
      <c r="BD159" s="5"/>
      <c r="BE159" s="5"/>
      <c r="BF159" s="5"/>
    </row>
    <row r="160" spans="2:58" s="141" customFormat="1" x14ac:dyDescent="0.25">
      <c r="B160" s="128"/>
      <c r="C160" s="109"/>
      <c r="D160" s="109"/>
      <c r="E160" s="129"/>
      <c r="F160" s="42"/>
      <c r="G160" s="5"/>
      <c r="H160" s="158"/>
      <c r="I160" s="171"/>
      <c r="J160" s="172"/>
      <c r="K160" s="161"/>
      <c r="L160" s="162"/>
      <c r="M160" s="162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32"/>
      <c r="AX160" s="32"/>
      <c r="AY160" s="32"/>
      <c r="AZ160" s="5"/>
      <c r="BA160" s="5"/>
      <c r="BB160" s="5"/>
      <c r="BC160" s="5"/>
      <c r="BD160" s="5"/>
      <c r="BE160" s="5"/>
      <c r="BF160" s="5"/>
    </row>
    <row r="161" spans="2:58" s="141" customFormat="1" x14ac:dyDescent="0.25">
      <c r="B161" s="128"/>
      <c r="C161" s="109"/>
      <c r="D161" s="109"/>
      <c r="E161" s="129"/>
      <c r="F161" s="42"/>
      <c r="G161" s="5"/>
      <c r="H161" s="158"/>
      <c r="I161" s="171"/>
      <c r="J161" s="172"/>
      <c r="K161" s="161"/>
      <c r="L161" s="162"/>
      <c r="M161" s="162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32"/>
      <c r="AX161" s="32"/>
      <c r="AY161" s="32"/>
      <c r="AZ161" s="5"/>
      <c r="BA161" s="5"/>
      <c r="BB161" s="5"/>
      <c r="BC161" s="5"/>
      <c r="BD161" s="5"/>
      <c r="BE161" s="5"/>
      <c r="BF161" s="5"/>
    </row>
    <row r="162" spans="2:58" s="141" customFormat="1" x14ac:dyDescent="0.25">
      <c r="B162" s="128"/>
      <c r="C162" s="109"/>
      <c r="D162" s="109"/>
      <c r="E162" s="129"/>
      <c r="F162" s="42"/>
      <c r="G162" s="5"/>
      <c r="H162" s="158"/>
      <c r="I162" s="171"/>
      <c r="J162" s="172"/>
      <c r="K162" s="161"/>
      <c r="L162" s="162"/>
      <c r="M162" s="162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32"/>
      <c r="AX162" s="32"/>
      <c r="AY162" s="32"/>
      <c r="AZ162" s="5"/>
      <c r="BA162" s="5"/>
      <c r="BB162" s="5"/>
      <c r="BC162" s="5"/>
      <c r="BD162" s="5"/>
      <c r="BE162" s="5"/>
      <c r="BF162" s="5"/>
    </row>
    <row r="163" spans="2:58" s="141" customFormat="1" x14ac:dyDescent="0.25">
      <c r="B163" s="128"/>
      <c r="C163" s="109"/>
      <c r="D163" s="109"/>
      <c r="E163" s="129"/>
      <c r="F163" s="42"/>
      <c r="G163" s="5"/>
      <c r="H163" s="158"/>
      <c r="I163" s="171"/>
      <c r="J163" s="172"/>
      <c r="K163" s="161"/>
      <c r="L163" s="162"/>
      <c r="M163" s="162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32"/>
      <c r="AX163" s="32"/>
      <c r="AY163" s="32"/>
      <c r="AZ163" s="5"/>
      <c r="BA163" s="5"/>
      <c r="BB163" s="5"/>
      <c r="BC163" s="5"/>
      <c r="BD163" s="5"/>
      <c r="BE163" s="5"/>
      <c r="BF163" s="5"/>
    </row>
    <row r="164" spans="2:58" s="141" customFormat="1" x14ac:dyDescent="0.25">
      <c r="B164" s="128"/>
      <c r="C164" s="109"/>
      <c r="D164" s="109"/>
      <c r="E164" s="129"/>
      <c r="F164" s="42"/>
      <c r="G164" s="5"/>
      <c r="H164" s="158"/>
      <c r="I164" s="171"/>
      <c r="J164" s="172"/>
      <c r="K164" s="161"/>
      <c r="L164" s="162"/>
      <c r="M164" s="162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32"/>
      <c r="AX164" s="32"/>
      <c r="AY164" s="32"/>
      <c r="AZ164" s="5"/>
      <c r="BA164" s="5"/>
      <c r="BB164" s="5"/>
      <c r="BC164" s="5"/>
      <c r="BD164" s="5"/>
      <c r="BE164" s="5"/>
      <c r="BF164" s="5"/>
    </row>
    <row r="165" spans="2:58" s="141" customFormat="1" x14ac:dyDescent="0.25">
      <c r="B165" s="128"/>
      <c r="C165" s="109"/>
      <c r="D165" s="109"/>
      <c r="E165" s="129"/>
      <c r="F165" s="42"/>
      <c r="G165" s="5"/>
      <c r="H165" s="158"/>
      <c r="I165" s="171"/>
      <c r="J165" s="172"/>
      <c r="K165" s="161"/>
      <c r="L165" s="162"/>
      <c r="M165" s="162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32"/>
      <c r="AX165" s="32"/>
      <c r="AY165" s="32"/>
      <c r="AZ165" s="5"/>
      <c r="BA165" s="5"/>
      <c r="BB165" s="5"/>
      <c r="BC165" s="5"/>
      <c r="BD165" s="5"/>
      <c r="BE165" s="5"/>
      <c r="BF165" s="5"/>
    </row>
    <row r="166" spans="2:58" s="141" customFormat="1" x14ac:dyDescent="0.25">
      <c r="B166" s="128"/>
      <c r="C166" s="109"/>
      <c r="D166" s="109"/>
      <c r="E166" s="129"/>
      <c r="F166" s="42"/>
      <c r="G166" s="5"/>
      <c r="H166" s="158"/>
      <c r="I166" s="171"/>
      <c r="J166" s="172"/>
      <c r="K166" s="161"/>
      <c r="L166" s="162"/>
      <c r="M166" s="162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32"/>
      <c r="AX166" s="32"/>
      <c r="AY166" s="32"/>
      <c r="AZ166" s="5"/>
      <c r="BA166" s="5"/>
      <c r="BB166" s="5"/>
      <c r="BC166" s="5"/>
      <c r="BD166" s="5"/>
      <c r="BE166" s="5"/>
      <c r="BF166" s="5"/>
    </row>
    <row r="167" spans="2:58" s="141" customFormat="1" x14ac:dyDescent="0.25">
      <c r="B167" s="128"/>
      <c r="C167" s="109"/>
      <c r="D167" s="109"/>
      <c r="E167" s="129"/>
      <c r="F167" s="42"/>
      <c r="G167" s="5"/>
      <c r="H167" s="158"/>
      <c r="I167" s="171"/>
      <c r="J167" s="172"/>
      <c r="K167" s="161"/>
      <c r="L167" s="162"/>
      <c r="M167" s="162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32"/>
      <c r="AX167" s="32"/>
      <c r="AY167" s="32"/>
      <c r="AZ167" s="5"/>
      <c r="BA167" s="5"/>
      <c r="BB167" s="5"/>
      <c r="BC167" s="5"/>
      <c r="BD167" s="5"/>
      <c r="BE167" s="5"/>
      <c r="BF167" s="5"/>
    </row>
    <row r="168" spans="2:58" s="141" customFormat="1" x14ac:dyDescent="0.25">
      <c r="B168" s="128"/>
      <c r="C168" s="109"/>
      <c r="D168" s="109"/>
      <c r="E168" s="129"/>
      <c r="F168" s="42"/>
      <c r="G168" s="5"/>
      <c r="H168" s="158"/>
      <c r="I168" s="171"/>
      <c r="J168" s="172"/>
      <c r="K168" s="161"/>
      <c r="L168" s="162"/>
      <c r="M168" s="162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32"/>
      <c r="AX168" s="32"/>
      <c r="AY168" s="32"/>
      <c r="AZ168" s="5"/>
      <c r="BA168" s="5"/>
      <c r="BB168" s="5"/>
      <c r="BC168" s="5"/>
      <c r="BD168" s="5"/>
      <c r="BE168" s="5"/>
      <c r="BF168" s="5"/>
    </row>
    <row r="169" spans="2:58" s="141" customFormat="1" x14ac:dyDescent="0.25">
      <c r="B169" s="128"/>
      <c r="C169" s="109"/>
      <c r="D169" s="109"/>
      <c r="E169" s="129"/>
      <c r="F169" s="42"/>
      <c r="G169" s="5"/>
      <c r="H169" s="158"/>
      <c r="I169" s="171"/>
      <c r="J169" s="172"/>
      <c r="K169" s="161"/>
      <c r="L169" s="162"/>
      <c r="M169" s="162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32"/>
      <c r="AX169" s="32"/>
      <c r="AY169" s="32"/>
      <c r="AZ169" s="5"/>
      <c r="BA169" s="5"/>
      <c r="BB169" s="5"/>
      <c r="BC169" s="5"/>
      <c r="BD169" s="5"/>
      <c r="BE169" s="5"/>
      <c r="BF169" s="5"/>
    </row>
    <row r="170" spans="2:58" s="141" customFormat="1" x14ac:dyDescent="0.25">
      <c r="B170" s="128"/>
      <c r="C170" s="109"/>
      <c r="D170" s="109"/>
      <c r="E170" s="129"/>
      <c r="F170" s="42"/>
      <c r="G170" s="5"/>
      <c r="H170" s="158"/>
      <c r="I170" s="171"/>
      <c r="J170" s="172"/>
      <c r="K170" s="161"/>
      <c r="L170" s="162"/>
      <c r="M170" s="162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32"/>
      <c r="AX170" s="32"/>
      <c r="AY170" s="32"/>
      <c r="AZ170" s="5"/>
      <c r="BA170" s="5"/>
      <c r="BB170" s="5"/>
      <c r="BC170" s="5"/>
      <c r="BD170" s="5"/>
      <c r="BE170" s="5"/>
      <c r="BF170" s="5"/>
    </row>
    <row r="171" spans="2:58" s="141" customFormat="1" x14ac:dyDescent="0.25">
      <c r="B171" s="128"/>
      <c r="C171" s="109"/>
      <c r="D171" s="109"/>
      <c r="E171" s="129"/>
      <c r="F171" s="42"/>
      <c r="G171" s="5"/>
      <c r="H171" s="158"/>
      <c r="I171" s="171"/>
      <c r="J171" s="172"/>
      <c r="K171" s="161"/>
      <c r="L171" s="162"/>
      <c r="M171" s="162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32"/>
      <c r="AX171" s="32"/>
      <c r="AY171" s="32"/>
      <c r="AZ171" s="5"/>
      <c r="BA171" s="5"/>
      <c r="BB171" s="5"/>
      <c r="BC171" s="5"/>
      <c r="BD171" s="5"/>
      <c r="BE171" s="5"/>
      <c r="BF171" s="5"/>
    </row>
    <row r="172" spans="2:58" s="141" customFormat="1" x14ac:dyDescent="0.25">
      <c r="B172" s="128"/>
      <c r="C172" s="109"/>
      <c r="D172" s="109"/>
      <c r="E172" s="129"/>
      <c r="F172" s="42"/>
      <c r="G172" s="5"/>
      <c r="H172" s="158"/>
      <c r="I172" s="171"/>
      <c r="J172" s="172"/>
      <c r="K172" s="161"/>
      <c r="L172" s="162"/>
      <c r="M172" s="162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32"/>
      <c r="AX172" s="32"/>
      <c r="AY172" s="32"/>
      <c r="AZ172" s="5"/>
      <c r="BA172" s="5"/>
      <c r="BB172" s="5"/>
      <c r="BC172" s="5"/>
      <c r="BD172" s="5"/>
      <c r="BE172" s="5"/>
      <c r="BF172" s="5"/>
    </row>
    <row r="173" spans="2:58" s="141" customFormat="1" x14ac:dyDescent="0.25">
      <c r="B173" s="128"/>
      <c r="C173" s="109"/>
      <c r="D173" s="109"/>
      <c r="E173" s="129"/>
      <c r="F173" s="42"/>
      <c r="G173" s="5"/>
      <c r="H173" s="158"/>
      <c r="I173" s="171"/>
      <c r="J173" s="172"/>
      <c r="K173" s="161"/>
      <c r="L173" s="162"/>
      <c r="M173" s="162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32"/>
      <c r="AX173" s="32"/>
      <c r="AY173" s="32"/>
      <c r="AZ173" s="5"/>
      <c r="BA173" s="5"/>
      <c r="BB173" s="5"/>
      <c r="BC173" s="5"/>
      <c r="BD173" s="5"/>
      <c r="BE173" s="5"/>
      <c r="BF173" s="5"/>
    </row>
    <row r="174" spans="2:58" s="141" customFormat="1" x14ac:dyDescent="0.25">
      <c r="B174" s="128"/>
      <c r="C174" s="109"/>
      <c r="D174" s="109"/>
      <c r="E174" s="129"/>
      <c r="F174" s="42"/>
      <c r="G174" s="5"/>
      <c r="H174" s="158"/>
      <c r="I174" s="171"/>
      <c r="J174" s="172"/>
      <c r="K174" s="161"/>
      <c r="L174" s="162"/>
      <c r="M174" s="162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32"/>
      <c r="AX174" s="32"/>
      <c r="AY174" s="32"/>
      <c r="AZ174" s="5"/>
      <c r="BA174" s="5"/>
      <c r="BB174" s="5"/>
      <c r="BC174" s="5"/>
      <c r="BD174" s="5"/>
      <c r="BE174" s="5"/>
      <c r="BF174" s="5"/>
    </row>
    <row r="175" spans="2:58" s="141" customFormat="1" x14ac:dyDescent="0.25">
      <c r="B175" s="128"/>
      <c r="C175" s="109"/>
      <c r="D175" s="109"/>
      <c r="E175" s="129"/>
      <c r="F175" s="42"/>
      <c r="G175" s="5"/>
      <c r="H175" s="158"/>
      <c r="I175" s="171"/>
      <c r="J175" s="172"/>
      <c r="K175" s="161"/>
      <c r="L175" s="162"/>
      <c r="M175" s="162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32"/>
      <c r="AX175" s="32"/>
      <c r="AY175" s="32"/>
      <c r="AZ175" s="5"/>
      <c r="BA175" s="5"/>
      <c r="BB175" s="5"/>
      <c r="BC175" s="5"/>
      <c r="BD175" s="5"/>
      <c r="BE175" s="5"/>
      <c r="BF175" s="5"/>
    </row>
    <row r="176" spans="2:58" s="141" customFormat="1" x14ac:dyDescent="0.25">
      <c r="B176" s="128"/>
      <c r="C176" s="109"/>
      <c r="D176" s="109"/>
      <c r="E176" s="129"/>
      <c r="F176" s="42"/>
      <c r="G176" s="5"/>
      <c r="H176" s="158"/>
      <c r="I176" s="171"/>
      <c r="J176" s="172"/>
      <c r="K176" s="161"/>
      <c r="L176" s="162"/>
      <c r="M176" s="162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32"/>
      <c r="AX176" s="32"/>
      <c r="AY176" s="32"/>
      <c r="AZ176" s="5"/>
      <c r="BA176" s="5"/>
      <c r="BB176" s="5"/>
      <c r="BC176" s="5"/>
      <c r="BD176" s="5"/>
      <c r="BE176" s="5"/>
      <c r="BF176" s="5"/>
    </row>
    <row r="177" spans="2:58" s="141" customFormat="1" x14ac:dyDescent="0.25">
      <c r="B177" s="128"/>
      <c r="C177" s="109"/>
      <c r="D177" s="109"/>
      <c r="E177" s="129"/>
      <c r="F177" s="42"/>
      <c r="G177" s="5"/>
      <c r="H177" s="158"/>
      <c r="I177" s="171"/>
      <c r="J177" s="172"/>
      <c r="K177" s="161"/>
      <c r="L177" s="162"/>
      <c r="M177" s="162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32"/>
      <c r="AX177" s="32"/>
      <c r="AY177" s="32"/>
      <c r="AZ177" s="5"/>
      <c r="BA177" s="5"/>
      <c r="BB177" s="5"/>
      <c r="BC177" s="5"/>
      <c r="BD177" s="5"/>
      <c r="BE177" s="5"/>
      <c r="BF177" s="5"/>
    </row>
    <row r="178" spans="2:58" s="141" customFormat="1" x14ac:dyDescent="0.25">
      <c r="B178" s="128"/>
      <c r="C178" s="109"/>
      <c r="D178" s="109"/>
      <c r="E178" s="129"/>
      <c r="F178" s="42"/>
      <c r="G178" s="5"/>
      <c r="H178" s="158"/>
      <c r="I178" s="171"/>
      <c r="J178" s="172"/>
      <c r="K178" s="161"/>
      <c r="L178" s="162"/>
      <c r="M178" s="162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32"/>
      <c r="AX178" s="32"/>
      <c r="AY178" s="32"/>
      <c r="AZ178" s="5"/>
      <c r="BA178" s="5"/>
      <c r="BB178" s="5"/>
      <c r="BC178" s="5"/>
      <c r="BD178" s="5"/>
      <c r="BE178" s="5"/>
      <c r="BF178" s="5"/>
    </row>
    <row r="179" spans="2:58" s="141" customFormat="1" x14ac:dyDescent="0.25">
      <c r="B179" s="128"/>
      <c r="C179" s="109"/>
      <c r="D179" s="109"/>
      <c r="E179" s="129"/>
      <c r="F179" s="42"/>
      <c r="G179" s="5"/>
      <c r="H179" s="158"/>
      <c r="I179" s="171"/>
      <c r="J179" s="172"/>
      <c r="K179" s="161"/>
      <c r="L179" s="162"/>
      <c r="M179" s="162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32"/>
      <c r="AX179" s="32"/>
      <c r="AY179" s="32"/>
      <c r="AZ179" s="5"/>
      <c r="BA179" s="5"/>
      <c r="BB179" s="5"/>
      <c r="BC179" s="5"/>
      <c r="BD179" s="5"/>
      <c r="BE179" s="5"/>
      <c r="BF179" s="5"/>
    </row>
    <row r="180" spans="2:58" s="141" customFormat="1" x14ac:dyDescent="0.25">
      <c r="B180" s="128"/>
      <c r="C180" s="109"/>
      <c r="D180" s="109"/>
      <c r="E180" s="129"/>
      <c r="F180" s="42"/>
      <c r="G180" s="5"/>
      <c r="H180" s="158"/>
      <c r="I180" s="171"/>
      <c r="J180" s="172"/>
      <c r="K180" s="161"/>
      <c r="L180" s="162"/>
      <c r="M180" s="162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32"/>
      <c r="AX180" s="32"/>
      <c r="AY180" s="32"/>
      <c r="AZ180" s="5"/>
      <c r="BA180" s="5"/>
      <c r="BB180" s="5"/>
      <c r="BC180" s="5"/>
      <c r="BD180" s="5"/>
      <c r="BE180" s="5"/>
      <c r="BF180" s="5"/>
    </row>
    <row r="181" spans="2:58" s="141" customFormat="1" x14ac:dyDescent="0.25">
      <c r="B181" s="128"/>
      <c r="C181" s="109"/>
      <c r="D181" s="109"/>
      <c r="E181" s="129"/>
      <c r="F181" s="42"/>
      <c r="G181" s="5"/>
      <c r="H181" s="158"/>
      <c r="I181" s="171"/>
      <c r="J181" s="172"/>
      <c r="K181" s="161"/>
      <c r="L181" s="162"/>
      <c r="M181" s="162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32"/>
      <c r="AX181" s="32"/>
      <c r="AY181" s="32"/>
      <c r="AZ181" s="5"/>
      <c r="BA181" s="5"/>
      <c r="BB181" s="5"/>
      <c r="BC181" s="5"/>
      <c r="BD181" s="5"/>
      <c r="BE181" s="5"/>
      <c r="BF181" s="5"/>
    </row>
    <row r="182" spans="2:58" s="141" customFormat="1" x14ac:dyDescent="0.25">
      <c r="B182" s="128"/>
      <c r="C182" s="109"/>
      <c r="D182" s="109"/>
      <c r="E182" s="129"/>
      <c r="F182" s="42"/>
      <c r="G182" s="5"/>
      <c r="H182" s="158"/>
      <c r="I182" s="171"/>
      <c r="J182" s="172"/>
      <c r="K182" s="161"/>
      <c r="L182" s="162"/>
      <c r="M182" s="162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32"/>
      <c r="AX182" s="32"/>
      <c r="AY182" s="32"/>
      <c r="AZ182" s="5"/>
      <c r="BA182" s="5"/>
      <c r="BB182" s="5"/>
      <c r="BC182" s="5"/>
      <c r="BD182" s="5"/>
      <c r="BE182" s="5"/>
      <c r="BF182" s="5"/>
    </row>
    <row r="183" spans="2:58" s="141" customFormat="1" x14ac:dyDescent="0.25">
      <c r="B183" s="128"/>
      <c r="C183" s="109"/>
      <c r="D183" s="109"/>
      <c r="E183" s="129"/>
      <c r="F183" s="42"/>
      <c r="G183" s="5"/>
      <c r="H183" s="158"/>
      <c r="I183" s="171"/>
      <c r="J183" s="172"/>
      <c r="K183" s="161"/>
      <c r="L183" s="162"/>
      <c r="M183" s="162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32"/>
      <c r="AX183" s="32"/>
      <c r="AY183" s="32"/>
      <c r="AZ183" s="5"/>
      <c r="BA183" s="5"/>
      <c r="BB183" s="5"/>
      <c r="BC183" s="5"/>
      <c r="BD183" s="5"/>
      <c r="BE183" s="5"/>
      <c r="BF183" s="5"/>
    </row>
    <row r="184" spans="2:58" s="141" customFormat="1" x14ac:dyDescent="0.25">
      <c r="B184" s="128"/>
      <c r="C184" s="109"/>
      <c r="D184" s="109"/>
      <c r="E184" s="129"/>
      <c r="F184" s="42"/>
      <c r="G184" s="5"/>
      <c r="H184" s="158"/>
      <c r="I184" s="171"/>
      <c r="J184" s="172"/>
      <c r="K184" s="161"/>
      <c r="L184" s="162"/>
      <c r="M184" s="162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32"/>
      <c r="AX184" s="32"/>
      <c r="AY184" s="32"/>
      <c r="AZ184" s="5"/>
      <c r="BA184" s="5"/>
      <c r="BB184" s="5"/>
      <c r="BC184" s="5"/>
      <c r="BD184" s="5"/>
      <c r="BE184" s="5"/>
      <c r="BF184" s="5"/>
    </row>
    <row r="185" spans="2:58" s="141" customFormat="1" x14ac:dyDescent="0.25">
      <c r="B185" s="128"/>
      <c r="C185" s="109"/>
      <c r="D185" s="109"/>
      <c r="E185" s="129"/>
      <c r="F185" s="42"/>
      <c r="G185" s="5"/>
      <c r="H185" s="158"/>
      <c r="I185" s="171"/>
      <c r="J185" s="172"/>
      <c r="K185" s="161"/>
      <c r="L185" s="162"/>
      <c r="M185" s="162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32"/>
      <c r="AX185" s="32"/>
      <c r="AY185" s="32"/>
      <c r="AZ185" s="5"/>
      <c r="BA185" s="5"/>
      <c r="BB185" s="5"/>
      <c r="BC185" s="5"/>
      <c r="BD185" s="5"/>
      <c r="BE185" s="5"/>
      <c r="BF185" s="5"/>
    </row>
    <row r="186" spans="2:58" s="141" customFormat="1" x14ac:dyDescent="0.25">
      <c r="B186" s="128"/>
      <c r="C186" s="109"/>
      <c r="D186" s="109"/>
      <c r="E186" s="129"/>
      <c r="F186" s="42"/>
      <c r="G186" s="5"/>
      <c r="H186" s="158"/>
      <c r="I186" s="171"/>
      <c r="J186" s="172"/>
      <c r="K186" s="161"/>
      <c r="L186" s="162"/>
      <c r="M186" s="162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32"/>
      <c r="AX186" s="32"/>
      <c r="AY186" s="32"/>
      <c r="AZ186" s="5"/>
      <c r="BA186" s="5"/>
      <c r="BB186" s="5"/>
      <c r="BC186" s="5"/>
      <c r="BD186" s="5"/>
      <c r="BE186" s="5"/>
      <c r="BF186" s="5"/>
    </row>
    <row r="187" spans="2:58" s="141" customFormat="1" x14ac:dyDescent="0.25">
      <c r="B187" s="128"/>
      <c r="C187" s="109"/>
      <c r="D187" s="109"/>
      <c r="E187" s="129"/>
      <c r="F187" s="42"/>
      <c r="G187" s="5"/>
      <c r="H187" s="158"/>
      <c r="I187" s="171"/>
      <c r="J187" s="172"/>
      <c r="K187" s="161"/>
      <c r="L187" s="162"/>
      <c r="M187" s="162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32"/>
      <c r="AX187" s="32"/>
      <c r="AY187" s="32"/>
      <c r="AZ187" s="5"/>
      <c r="BA187" s="5"/>
      <c r="BB187" s="5"/>
      <c r="BC187" s="5"/>
      <c r="BD187" s="5"/>
      <c r="BE187" s="5"/>
      <c r="BF187" s="5"/>
    </row>
    <row r="188" spans="2:58" s="141" customFormat="1" x14ac:dyDescent="0.25">
      <c r="B188" s="128"/>
      <c r="C188" s="109"/>
      <c r="D188" s="109"/>
      <c r="E188" s="129"/>
      <c r="F188" s="42"/>
      <c r="G188" s="5"/>
      <c r="H188" s="158"/>
      <c r="I188" s="171"/>
      <c r="J188" s="172"/>
      <c r="K188" s="161"/>
      <c r="L188" s="162"/>
      <c r="M188" s="162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32"/>
      <c r="AX188" s="32"/>
      <c r="AY188" s="32"/>
      <c r="AZ188" s="5"/>
      <c r="BA188" s="5"/>
      <c r="BB188" s="5"/>
      <c r="BC188" s="5"/>
      <c r="BD188" s="5"/>
      <c r="BE188" s="5"/>
      <c r="BF188" s="5"/>
    </row>
    <row r="189" spans="2:58" s="141" customFormat="1" x14ac:dyDescent="0.25">
      <c r="B189" s="128"/>
      <c r="C189" s="109"/>
      <c r="D189" s="109"/>
      <c r="E189" s="129"/>
      <c r="F189" s="42"/>
      <c r="G189" s="5"/>
      <c r="H189" s="158"/>
      <c r="I189" s="171"/>
      <c r="J189" s="172"/>
      <c r="K189" s="161"/>
      <c r="L189" s="162"/>
      <c r="M189" s="162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32"/>
      <c r="AX189" s="32"/>
      <c r="AY189" s="32"/>
      <c r="AZ189" s="5"/>
      <c r="BA189" s="5"/>
      <c r="BB189" s="5"/>
      <c r="BC189" s="5"/>
      <c r="BD189" s="5"/>
      <c r="BE189" s="5"/>
      <c r="BF189" s="5"/>
    </row>
    <row r="190" spans="2:58" s="141" customFormat="1" x14ac:dyDescent="0.25">
      <c r="B190" s="128"/>
      <c r="C190" s="109"/>
      <c r="D190" s="109"/>
      <c r="E190" s="129"/>
      <c r="F190" s="42"/>
      <c r="G190" s="5"/>
      <c r="H190" s="158"/>
      <c r="I190" s="171"/>
      <c r="J190" s="172"/>
      <c r="K190" s="161"/>
      <c r="L190" s="162"/>
      <c r="M190" s="162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32"/>
      <c r="AX190" s="32"/>
      <c r="AY190" s="32"/>
      <c r="AZ190" s="5"/>
      <c r="BA190" s="5"/>
      <c r="BB190" s="5"/>
      <c r="BC190" s="5"/>
      <c r="BD190" s="5"/>
      <c r="BE190" s="5"/>
      <c r="BF190" s="5"/>
    </row>
    <row r="191" spans="2:58" s="141" customFormat="1" x14ac:dyDescent="0.25">
      <c r="B191" s="128"/>
      <c r="C191" s="109"/>
      <c r="D191" s="109"/>
      <c r="E191" s="129"/>
      <c r="F191" s="42"/>
      <c r="G191" s="5"/>
      <c r="H191" s="158"/>
      <c r="I191" s="171"/>
      <c r="J191" s="172"/>
      <c r="K191" s="161"/>
      <c r="L191" s="162"/>
      <c r="M191" s="162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32"/>
      <c r="AX191" s="32"/>
      <c r="AY191" s="32"/>
      <c r="AZ191" s="5"/>
      <c r="BA191" s="5"/>
      <c r="BB191" s="5"/>
      <c r="BC191" s="5"/>
      <c r="BD191" s="5"/>
      <c r="BE191" s="5"/>
      <c r="BF191" s="5"/>
    </row>
    <row r="192" spans="2:58" s="141" customFormat="1" x14ac:dyDescent="0.25">
      <c r="B192" s="128"/>
      <c r="C192" s="109"/>
      <c r="D192" s="109"/>
      <c r="E192" s="129"/>
      <c r="F192" s="42"/>
      <c r="G192" s="5"/>
      <c r="H192" s="158"/>
      <c r="I192" s="171"/>
      <c r="J192" s="172"/>
      <c r="K192" s="161"/>
      <c r="L192" s="162"/>
      <c r="M192" s="162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32"/>
      <c r="AX192" s="32"/>
      <c r="AY192" s="32"/>
      <c r="AZ192" s="5"/>
      <c r="BA192" s="5"/>
      <c r="BB192" s="5"/>
      <c r="BC192" s="5"/>
      <c r="BD192" s="5"/>
      <c r="BE192" s="5"/>
      <c r="BF192" s="5"/>
    </row>
    <row r="193" spans="2:58" s="141" customFormat="1" x14ac:dyDescent="0.25">
      <c r="B193" s="128"/>
      <c r="C193" s="109"/>
      <c r="D193" s="109"/>
      <c r="E193" s="129"/>
      <c r="F193" s="42"/>
      <c r="G193" s="5"/>
      <c r="H193" s="158"/>
      <c r="I193" s="171"/>
      <c r="J193" s="172"/>
      <c r="K193" s="161"/>
      <c r="L193" s="162"/>
      <c r="M193" s="162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32"/>
      <c r="AX193" s="32"/>
      <c r="AY193" s="32"/>
      <c r="AZ193" s="5"/>
      <c r="BA193" s="5"/>
      <c r="BB193" s="5"/>
      <c r="BC193" s="5"/>
      <c r="BD193" s="5"/>
      <c r="BE193" s="5"/>
      <c r="BF193" s="5"/>
    </row>
    <row r="194" spans="2:58" s="141" customFormat="1" x14ac:dyDescent="0.25">
      <c r="B194" s="128"/>
      <c r="C194" s="109"/>
      <c r="D194" s="109"/>
      <c r="E194" s="129"/>
      <c r="F194" s="42"/>
      <c r="G194" s="5"/>
      <c r="H194" s="158"/>
      <c r="I194" s="171"/>
      <c r="J194" s="172"/>
      <c r="K194" s="161"/>
      <c r="L194" s="162"/>
      <c r="M194" s="162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32"/>
      <c r="AX194" s="32"/>
      <c r="AY194" s="32"/>
      <c r="AZ194" s="5"/>
      <c r="BA194" s="5"/>
      <c r="BB194" s="5"/>
      <c r="BC194" s="5"/>
      <c r="BD194" s="5"/>
      <c r="BE194" s="5"/>
      <c r="BF194" s="5"/>
    </row>
    <row r="195" spans="2:58" s="141" customFormat="1" x14ac:dyDescent="0.25">
      <c r="B195" s="128"/>
      <c r="C195" s="109"/>
      <c r="D195" s="109"/>
      <c r="E195" s="129"/>
      <c r="F195" s="42"/>
      <c r="G195" s="5"/>
      <c r="H195" s="158"/>
      <c r="I195" s="171"/>
      <c r="J195" s="172"/>
      <c r="K195" s="161"/>
      <c r="L195" s="162"/>
      <c r="M195" s="162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32"/>
      <c r="AX195" s="32"/>
      <c r="AY195" s="32"/>
      <c r="AZ195" s="5"/>
      <c r="BA195" s="5"/>
      <c r="BB195" s="5"/>
      <c r="BC195" s="5"/>
      <c r="BD195" s="5"/>
      <c r="BE195" s="5"/>
      <c r="BF195" s="5"/>
    </row>
    <row r="196" spans="2:58" s="141" customFormat="1" x14ac:dyDescent="0.25">
      <c r="B196" s="128"/>
      <c r="C196" s="109"/>
      <c r="D196" s="109"/>
      <c r="E196" s="129"/>
      <c r="F196" s="42"/>
      <c r="G196" s="5"/>
      <c r="H196" s="158"/>
      <c r="I196" s="171"/>
      <c r="J196" s="172"/>
      <c r="K196" s="161"/>
      <c r="L196" s="162"/>
      <c r="M196" s="162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32"/>
      <c r="AX196" s="32"/>
      <c r="AY196" s="32"/>
      <c r="AZ196" s="5"/>
      <c r="BA196" s="5"/>
      <c r="BB196" s="5"/>
      <c r="BC196" s="5"/>
      <c r="BD196" s="5"/>
      <c r="BE196" s="5"/>
      <c r="BF196" s="5"/>
    </row>
    <row r="197" spans="2:58" s="141" customFormat="1" x14ac:dyDescent="0.25">
      <c r="B197" s="128"/>
      <c r="C197" s="109"/>
      <c r="D197" s="109"/>
      <c r="E197" s="129"/>
      <c r="F197" s="42"/>
      <c r="G197" s="5"/>
      <c r="H197" s="158"/>
      <c r="I197" s="171"/>
      <c r="J197" s="172"/>
      <c r="K197" s="161"/>
      <c r="L197" s="162"/>
      <c r="M197" s="162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32"/>
      <c r="AX197" s="32"/>
      <c r="AY197" s="32"/>
      <c r="AZ197" s="5"/>
      <c r="BA197" s="5"/>
      <c r="BB197" s="5"/>
      <c r="BC197" s="5"/>
      <c r="BD197" s="5"/>
      <c r="BE197" s="5"/>
      <c r="BF197" s="5"/>
    </row>
    <row r="198" spans="2:58" s="141" customFormat="1" x14ac:dyDescent="0.25">
      <c r="B198" s="128"/>
      <c r="C198" s="109"/>
      <c r="D198" s="109"/>
      <c r="E198" s="129"/>
      <c r="F198" s="42"/>
      <c r="G198" s="5"/>
      <c r="H198" s="158"/>
      <c r="I198" s="171"/>
      <c r="J198" s="172"/>
      <c r="K198" s="161"/>
      <c r="L198" s="162"/>
      <c r="M198" s="162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32"/>
      <c r="AX198" s="32"/>
      <c r="AY198" s="32"/>
      <c r="AZ198" s="5"/>
      <c r="BA198" s="5"/>
      <c r="BB198" s="5"/>
      <c r="BC198" s="5"/>
      <c r="BD198" s="5"/>
      <c r="BE198" s="5"/>
      <c r="BF198" s="5"/>
    </row>
    <row r="199" spans="2:58" s="141" customFormat="1" x14ac:dyDescent="0.25">
      <c r="B199" s="128"/>
      <c r="C199" s="109"/>
      <c r="D199" s="109"/>
      <c r="E199" s="129"/>
      <c r="F199" s="42"/>
      <c r="G199" s="5"/>
      <c r="H199" s="158"/>
      <c r="I199" s="171"/>
      <c r="J199" s="172"/>
      <c r="K199" s="161"/>
      <c r="L199" s="162"/>
      <c r="M199" s="162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32"/>
      <c r="AX199" s="32"/>
      <c r="AY199" s="32"/>
      <c r="AZ199" s="5"/>
      <c r="BA199" s="5"/>
      <c r="BB199" s="5"/>
      <c r="BC199" s="5"/>
      <c r="BD199" s="5"/>
      <c r="BE199" s="5"/>
      <c r="BF199" s="5"/>
    </row>
    <row r="200" spans="2:58" s="141" customFormat="1" x14ac:dyDescent="0.25">
      <c r="B200" s="128"/>
      <c r="C200" s="109"/>
      <c r="D200" s="109"/>
      <c r="E200" s="129"/>
      <c r="F200" s="42"/>
      <c r="G200" s="5"/>
      <c r="H200" s="158"/>
      <c r="I200" s="171"/>
      <c r="J200" s="172"/>
      <c r="K200" s="161"/>
      <c r="L200" s="162"/>
      <c r="M200" s="162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32"/>
      <c r="AX200" s="32"/>
      <c r="AY200" s="32"/>
      <c r="AZ200" s="5"/>
      <c r="BA200" s="5"/>
      <c r="BB200" s="5"/>
      <c r="BC200" s="5"/>
      <c r="BD200" s="5"/>
      <c r="BE200" s="5"/>
      <c r="BF200" s="5"/>
    </row>
    <row r="201" spans="2:58" s="141" customFormat="1" x14ac:dyDescent="0.25">
      <c r="B201" s="128"/>
      <c r="C201" s="109"/>
      <c r="D201" s="109"/>
      <c r="E201" s="129"/>
      <c r="F201" s="42"/>
      <c r="G201" s="5"/>
      <c r="H201" s="158"/>
      <c r="I201" s="171"/>
      <c r="J201" s="172"/>
      <c r="K201" s="161"/>
      <c r="L201" s="162"/>
      <c r="M201" s="162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32"/>
      <c r="AX201" s="32"/>
      <c r="AY201" s="32"/>
      <c r="AZ201" s="5"/>
      <c r="BA201" s="5"/>
      <c r="BB201" s="5"/>
      <c r="BC201" s="5"/>
      <c r="BD201" s="5"/>
      <c r="BE201" s="5"/>
      <c r="BF201" s="5"/>
    </row>
    <row r="202" spans="2:58" s="141" customFormat="1" x14ac:dyDescent="0.25">
      <c r="B202" s="128"/>
      <c r="C202" s="109"/>
      <c r="D202" s="109"/>
      <c r="E202" s="129"/>
      <c r="F202" s="42"/>
      <c r="G202" s="5"/>
      <c r="H202" s="158"/>
      <c r="I202" s="171"/>
      <c r="J202" s="172"/>
      <c r="K202" s="161"/>
      <c r="L202" s="162"/>
      <c r="M202" s="162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32"/>
      <c r="AX202" s="32"/>
      <c r="AY202" s="32"/>
      <c r="AZ202" s="5"/>
      <c r="BA202" s="5"/>
      <c r="BB202" s="5"/>
      <c r="BC202" s="5"/>
      <c r="BD202" s="5"/>
      <c r="BE202" s="5"/>
      <c r="BF202" s="5"/>
    </row>
    <row r="203" spans="2:58" s="141" customFormat="1" x14ac:dyDescent="0.25">
      <c r="B203" s="128"/>
      <c r="C203" s="109"/>
      <c r="D203" s="109"/>
      <c r="E203" s="129"/>
      <c r="F203" s="42"/>
      <c r="G203" s="5"/>
      <c r="H203" s="158"/>
      <c r="I203" s="171"/>
      <c r="J203" s="172"/>
      <c r="K203" s="161"/>
      <c r="L203" s="162"/>
      <c r="M203" s="162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32"/>
      <c r="AX203" s="32"/>
      <c r="AY203" s="32"/>
      <c r="AZ203" s="5"/>
      <c r="BA203" s="5"/>
      <c r="BB203" s="5"/>
      <c r="BC203" s="5"/>
      <c r="BD203" s="5"/>
      <c r="BE203" s="5"/>
      <c r="BF203" s="5"/>
    </row>
    <row r="204" spans="2:58" s="141" customFormat="1" x14ac:dyDescent="0.25">
      <c r="B204" s="128"/>
      <c r="C204" s="109"/>
      <c r="D204" s="109"/>
      <c r="E204" s="129"/>
      <c r="F204" s="42"/>
      <c r="G204" s="5"/>
      <c r="H204" s="158"/>
      <c r="I204" s="171"/>
      <c r="J204" s="172"/>
      <c r="K204" s="161"/>
      <c r="L204" s="162"/>
      <c r="M204" s="162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32"/>
      <c r="AX204" s="32"/>
      <c r="AY204" s="32"/>
      <c r="AZ204" s="5"/>
      <c r="BA204" s="5"/>
      <c r="BB204" s="5"/>
      <c r="BC204" s="5"/>
      <c r="BD204" s="5"/>
      <c r="BE204" s="5"/>
      <c r="BF204" s="5"/>
    </row>
    <row r="205" spans="2:58" s="141" customFormat="1" x14ac:dyDescent="0.25">
      <c r="B205" s="128"/>
      <c r="C205" s="109"/>
      <c r="D205" s="109"/>
      <c r="E205" s="129"/>
      <c r="F205" s="42"/>
      <c r="G205" s="5"/>
      <c r="H205" s="158"/>
      <c r="I205" s="171"/>
      <c r="J205" s="172"/>
      <c r="K205" s="161"/>
      <c r="L205" s="162"/>
      <c r="M205" s="162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32"/>
      <c r="AX205" s="32"/>
      <c r="AY205" s="32"/>
      <c r="AZ205" s="5"/>
      <c r="BA205" s="5"/>
      <c r="BB205" s="5"/>
      <c r="BC205" s="5"/>
      <c r="BD205" s="5"/>
      <c r="BE205" s="5"/>
      <c r="BF205" s="5"/>
    </row>
    <row r="206" spans="2:58" s="141" customFormat="1" x14ac:dyDescent="0.25">
      <c r="B206" s="128"/>
      <c r="C206" s="109"/>
      <c r="D206" s="109"/>
      <c r="E206" s="129"/>
      <c r="F206" s="42"/>
      <c r="G206" s="5"/>
      <c r="H206" s="158"/>
      <c r="I206" s="171"/>
      <c r="J206" s="172"/>
      <c r="K206" s="161"/>
      <c r="L206" s="162"/>
      <c r="M206" s="162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32"/>
      <c r="AX206" s="32"/>
      <c r="AY206" s="32"/>
      <c r="AZ206" s="5"/>
      <c r="BA206" s="5"/>
      <c r="BB206" s="5"/>
      <c r="BC206" s="5"/>
      <c r="BD206" s="5"/>
      <c r="BE206" s="5"/>
      <c r="BF206" s="5"/>
    </row>
    <row r="207" spans="2:58" s="141" customFormat="1" x14ac:dyDescent="0.25">
      <c r="B207" s="128"/>
      <c r="C207" s="109"/>
      <c r="D207" s="109"/>
      <c r="E207" s="129"/>
      <c r="F207" s="42"/>
      <c r="G207" s="5"/>
      <c r="H207" s="158"/>
      <c r="I207" s="171"/>
      <c r="J207" s="172"/>
      <c r="K207" s="161"/>
      <c r="L207" s="162"/>
      <c r="M207" s="162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32"/>
      <c r="AX207" s="32"/>
      <c r="AY207" s="32"/>
      <c r="AZ207" s="5"/>
      <c r="BA207" s="5"/>
      <c r="BB207" s="5"/>
      <c r="BC207" s="5"/>
      <c r="BD207" s="5"/>
      <c r="BE207" s="5"/>
      <c r="BF207" s="5"/>
    </row>
    <row r="208" spans="2:58" s="141" customFormat="1" x14ac:dyDescent="0.25">
      <c r="B208" s="128"/>
      <c r="C208" s="109"/>
      <c r="D208" s="109"/>
      <c r="E208" s="129"/>
      <c r="F208" s="42"/>
      <c r="G208" s="5"/>
      <c r="H208" s="158"/>
      <c r="I208" s="171"/>
      <c r="J208" s="172"/>
      <c r="K208" s="161"/>
      <c r="L208" s="162"/>
      <c r="M208" s="162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32"/>
      <c r="AX208" s="32"/>
      <c r="AY208" s="32"/>
      <c r="AZ208" s="5"/>
      <c r="BA208" s="5"/>
      <c r="BB208" s="5"/>
      <c r="BC208" s="5"/>
      <c r="BD208" s="5"/>
      <c r="BE208" s="5"/>
      <c r="BF208" s="5"/>
    </row>
    <row r="209" spans="2:58" s="141" customFormat="1" x14ac:dyDescent="0.25">
      <c r="B209" s="128"/>
      <c r="C209" s="109"/>
      <c r="D209" s="109"/>
      <c r="E209" s="129"/>
      <c r="F209" s="42"/>
      <c r="G209" s="5"/>
      <c r="H209" s="158"/>
      <c r="I209" s="171"/>
      <c r="J209" s="172"/>
      <c r="K209" s="161"/>
      <c r="L209" s="162"/>
      <c r="M209" s="162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32"/>
      <c r="AX209" s="32"/>
      <c r="AY209" s="32"/>
      <c r="AZ209" s="5"/>
      <c r="BA209" s="5"/>
      <c r="BB209" s="5"/>
      <c r="BC209" s="5"/>
      <c r="BD209" s="5"/>
      <c r="BE209" s="5"/>
      <c r="BF209" s="5"/>
    </row>
    <row r="210" spans="2:58" s="141" customFormat="1" x14ac:dyDescent="0.25">
      <c r="B210" s="128"/>
      <c r="C210" s="109"/>
      <c r="D210" s="109"/>
      <c r="E210" s="129"/>
      <c r="F210" s="42"/>
      <c r="G210" s="5"/>
      <c r="H210" s="158"/>
      <c r="I210" s="171"/>
      <c r="J210" s="172"/>
      <c r="K210" s="161"/>
      <c r="L210" s="162"/>
      <c r="M210" s="162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32"/>
      <c r="AX210" s="32"/>
      <c r="AY210" s="32"/>
      <c r="AZ210" s="5"/>
      <c r="BA210" s="5"/>
      <c r="BB210" s="5"/>
      <c r="BC210" s="5"/>
      <c r="BD210" s="5"/>
      <c r="BE210" s="5"/>
      <c r="BF210" s="5"/>
    </row>
    <row r="211" spans="2:58" s="141" customFormat="1" x14ac:dyDescent="0.25">
      <c r="B211" s="128"/>
      <c r="C211" s="109"/>
      <c r="D211" s="109"/>
      <c r="E211" s="129"/>
      <c r="F211" s="42"/>
      <c r="G211" s="5"/>
      <c r="H211" s="158"/>
      <c r="I211" s="171"/>
      <c r="J211" s="172"/>
      <c r="K211" s="161"/>
      <c r="L211" s="162"/>
      <c r="M211" s="162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32"/>
      <c r="AX211" s="32"/>
      <c r="AY211" s="32"/>
      <c r="AZ211" s="5"/>
      <c r="BA211" s="5"/>
      <c r="BB211" s="5"/>
      <c r="BC211" s="5"/>
      <c r="BD211" s="5"/>
      <c r="BE211" s="5"/>
      <c r="BF211" s="5"/>
    </row>
    <row r="212" spans="2:58" s="141" customFormat="1" x14ac:dyDescent="0.25">
      <c r="B212" s="128"/>
      <c r="C212" s="109"/>
      <c r="D212" s="109"/>
      <c r="E212" s="129"/>
      <c r="F212" s="42"/>
      <c r="G212" s="5"/>
      <c r="H212" s="158"/>
      <c r="I212" s="171"/>
      <c r="J212" s="172"/>
      <c r="K212" s="161"/>
      <c r="L212" s="162"/>
      <c r="M212" s="162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32"/>
      <c r="AX212" s="32"/>
      <c r="AY212" s="32"/>
      <c r="AZ212" s="5"/>
      <c r="BA212" s="5"/>
      <c r="BB212" s="5"/>
      <c r="BC212" s="5"/>
      <c r="BD212" s="5"/>
      <c r="BE212" s="5"/>
      <c r="BF212" s="5"/>
    </row>
    <row r="213" spans="2:58" s="141" customFormat="1" x14ac:dyDescent="0.25">
      <c r="B213" s="128"/>
      <c r="C213" s="109"/>
      <c r="D213" s="109"/>
      <c r="E213" s="129"/>
      <c r="F213" s="42"/>
      <c r="G213" s="5"/>
      <c r="H213" s="158"/>
      <c r="I213" s="171"/>
      <c r="J213" s="172"/>
      <c r="K213" s="161"/>
      <c r="L213" s="162"/>
      <c r="M213" s="162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32"/>
      <c r="AX213" s="32"/>
      <c r="AY213" s="32"/>
      <c r="AZ213" s="5"/>
      <c r="BA213" s="5"/>
      <c r="BB213" s="5"/>
      <c r="BC213" s="5"/>
      <c r="BD213" s="5"/>
      <c r="BE213" s="5"/>
      <c r="BF213" s="5"/>
    </row>
    <row r="214" spans="2:58" s="141" customFormat="1" x14ac:dyDescent="0.25">
      <c r="B214" s="128"/>
      <c r="C214" s="109"/>
      <c r="D214" s="109"/>
      <c r="E214" s="129"/>
      <c r="F214" s="42"/>
      <c r="G214" s="5"/>
      <c r="H214" s="158"/>
      <c r="I214" s="171"/>
      <c r="J214" s="172"/>
      <c r="K214" s="161"/>
      <c r="L214" s="162"/>
      <c r="M214" s="162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32"/>
      <c r="AX214" s="32"/>
      <c r="AY214" s="32"/>
      <c r="AZ214" s="5"/>
      <c r="BA214" s="5"/>
      <c r="BB214" s="5"/>
      <c r="BC214" s="5"/>
      <c r="BD214" s="5"/>
      <c r="BE214" s="5"/>
      <c r="BF214" s="5"/>
    </row>
    <row r="215" spans="2:58" s="141" customFormat="1" x14ac:dyDescent="0.25">
      <c r="B215" s="128"/>
      <c r="C215" s="109"/>
      <c r="D215" s="109"/>
      <c r="E215" s="129"/>
      <c r="F215" s="42"/>
      <c r="G215" s="5"/>
      <c r="H215" s="158"/>
      <c r="I215" s="171"/>
      <c r="J215" s="172"/>
      <c r="K215" s="161"/>
      <c r="L215" s="162"/>
      <c r="M215" s="162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32"/>
      <c r="AX215" s="32"/>
      <c r="AY215" s="32"/>
      <c r="AZ215" s="5"/>
      <c r="BA215" s="5"/>
      <c r="BB215" s="5"/>
      <c r="BC215" s="5"/>
      <c r="BD215" s="5"/>
      <c r="BE215" s="5"/>
      <c r="BF215" s="5"/>
    </row>
    <row r="216" spans="2:58" s="141" customFormat="1" x14ac:dyDescent="0.25">
      <c r="B216" s="128"/>
      <c r="C216" s="109"/>
      <c r="D216" s="109"/>
      <c r="E216" s="129"/>
      <c r="F216" s="42"/>
      <c r="G216" s="5"/>
      <c r="H216" s="158"/>
      <c r="I216" s="171"/>
      <c r="J216" s="172"/>
      <c r="K216" s="161"/>
      <c r="L216" s="162"/>
      <c r="M216" s="162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32"/>
      <c r="AX216" s="32"/>
      <c r="AY216" s="32"/>
      <c r="AZ216" s="5"/>
      <c r="BA216" s="5"/>
      <c r="BB216" s="5"/>
      <c r="BC216" s="5"/>
      <c r="BD216" s="5"/>
      <c r="BE216" s="5"/>
      <c r="BF216" s="5"/>
    </row>
    <row r="217" spans="2:58" s="141" customFormat="1" x14ac:dyDescent="0.25">
      <c r="B217" s="128"/>
      <c r="C217" s="109"/>
      <c r="D217" s="109"/>
      <c r="E217" s="129"/>
      <c r="F217" s="42"/>
      <c r="G217" s="5"/>
      <c r="H217" s="158"/>
      <c r="I217" s="171"/>
      <c r="J217" s="172"/>
      <c r="K217" s="161"/>
      <c r="L217" s="162"/>
      <c r="M217" s="162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32"/>
      <c r="AX217" s="32"/>
      <c r="AY217" s="32"/>
      <c r="AZ217" s="5"/>
      <c r="BA217" s="5"/>
      <c r="BB217" s="5"/>
      <c r="BC217" s="5"/>
      <c r="BD217" s="5"/>
      <c r="BE217" s="5"/>
      <c r="BF217" s="5"/>
    </row>
    <row r="218" spans="2:58" s="141" customFormat="1" x14ac:dyDescent="0.25">
      <c r="B218" s="128"/>
      <c r="C218" s="109"/>
      <c r="D218" s="109"/>
      <c r="E218" s="129"/>
      <c r="F218" s="42"/>
      <c r="G218" s="5"/>
      <c r="H218" s="158"/>
      <c r="I218" s="171"/>
      <c r="J218" s="172"/>
      <c r="K218" s="161"/>
      <c r="L218" s="162"/>
      <c r="M218" s="162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32"/>
      <c r="AX218" s="32"/>
      <c r="AY218" s="32"/>
      <c r="AZ218" s="5"/>
      <c r="BA218" s="5"/>
      <c r="BB218" s="5"/>
      <c r="BC218" s="5"/>
      <c r="BD218" s="5"/>
      <c r="BE218" s="5"/>
      <c r="BF218" s="5"/>
    </row>
    <row r="219" spans="2:58" s="141" customFormat="1" x14ac:dyDescent="0.25">
      <c r="B219" s="128"/>
      <c r="C219" s="109"/>
      <c r="D219" s="109"/>
      <c r="E219" s="129"/>
      <c r="F219" s="42"/>
      <c r="G219" s="5"/>
      <c r="H219" s="158"/>
      <c r="I219" s="171"/>
      <c r="J219" s="172"/>
      <c r="K219" s="161"/>
      <c r="L219" s="162"/>
      <c r="M219" s="162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32"/>
      <c r="AX219" s="32"/>
      <c r="AY219" s="32"/>
      <c r="AZ219" s="5"/>
      <c r="BA219" s="5"/>
      <c r="BB219" s="5"/>
      <c r="BC219" s="5"/>
      <c r="BD219" s="5"/>
      <c r="BE219" s="5"/>
      <c r="BF219" s="5"/>
    </row>
    <row r="220" spans="2:58" s="141" customFormat="1" x14ac:dyDescent="0.25">
      <c r="B220" s="128"/>
      <c r="C220" s="109"/>
      <c r="D220" s="109"/>
      <c r="E220" s="129"/>
      <c r="F220" s="42"/>
      <c r="G220" s="5"/>
      <c r="H220" s="158"/>
      <c r="I220" s="171"/>
      <c r="J220" s="172"/>
      <c r="K220" s="161"/>
      <c r="L220" s="162"/>
      <c r="M220" s="162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32"/>
      <c r="AX220" s="32"/>
      <c r="AY220" s="32"/>
      <c r="AZ220" s="5"/>
      <c r="BA220" s="5"/>
      <c r="BB220" s="5"/>
      <c r="BC220" s="5"/>
      <c r="BD220" s="5"/>
      <c r="BE220" s="5"/>
      <c r="BF220" s="5"/>
    </row>
    <row r="221" spans="2:58" s="141" customFormat="1" x14ac:dyDescent="0.25">
      <c r="B221" s="128"/>
      <c r="C221" s="109"/>
      <c r="D221" s="109"/>
      <c r="E221" s="129"/>
      <c r="F221" s="42"/>
      <c r="G221" s="5"/>
      <c r="H221" s="158"/>
      <c r="I221" s="171"/>
      <c r="J221" s="172"/>
      <c r="K221" s="161"/>
      <c r="L221" s="162"/>
      <c r="M221" s="162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32"/>
      <c r="AX221" s="32"/>
      <c r="AY221" s="32"/>
      <c r="AZ221" s="5"/>
      <c r="BA221" s="5"/>
      <c r="BB221" s="5"/>
      <c r="BC221" s="5"/>
      <c r="BD221" s="5"/>
      <c r="BE221" s="5"/>
      <c r="BF221" s="5"/>
    </row>
    <row r="222" spans="2:58" s="141" customFormat="1" x14ac:dyDescent="0.25">
      <c r="B222" s="128"/>
      <c r="C222" s="109"/>
      <c r="D222" s="109"/>
      <c r="E222" s="129"/>
      <c r="F222" s="42"/>
      <c r="G222" s="5"/>
      <c r="H222" s="158"/>
      <c r="I222" s="171"/>
      <c r="J222" s="172"/>
      <c r="K222" s="161"/>
      <c r="L222" s="162"/>
      <c r="M222" s="162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32"/>
      <c r="AX222" s="32"/>
      <c r="AY222" s="32"/>
      <c r="AZ222" s="5"/>
      <c r="BA222" s="5"/>
      <c r="BB222" s="5"/>
      <c r="BC222" s="5"/>
      <c r="BD222" s="5"/>
      <c r="BE222" s="5"/>
      <c r="BF222" s="5"/>
    </row>
    <row r="223" spans="2:58" s="141" customFormat="1" x14ac:dyDescent="0.25">
      <c r="B223" s="128"/>
      <c r="C223" s="109"/>
      <c r="D223" s="109"/>
      <c r="E223" s="129"/>
      <c r="F223" s="42"/>
      <c r="G223" s="5"/>
      <c r="H223" s="158"/>
      <c r="I223" s="171"/>
      <c r="J223" s="172"/>
      <c r="K223" s="161"/>
      <c r="L223" s="162"/>
      <c r="M223" s="162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32"/>
      <c r="AX223" s="32"/>
      <c r="AY223" s="32"/>
      <c r="AZ223" s="5"/>
      <c r="BA223" s="5"/>
      <c r="BB223" s="5"/>
      <c r="BC223" s="5"/>
      <c r="BD223" s="5"/>
      <c r="BE223" s="5"/>
      <c r="BF223" s="5"/>
    </row>
    <row r="224" spans="2:58" s="141" customFormat="1" x14ac:dyDescent="0.25">
      <c r="B224" s="128"/>
      <c r="C224" s="109"/>
      <c r="D224" s="109"/>
      <c r="E224" s="129"/>
      <c r="F224" s="42"/>
      <c r="G224" s="5"/>
      <c r="H224" s="158"/>
      <c r="I224" s="171"/>
      <c r="J224" s="172"/>
      <c r="K224" s="161"/>
      <c r="L224" s="162"/>
      <c r="M224" s="162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32"/>
      <c r="AX224" s="32"/>
      <c r="AY224" s="32"/>
      <c r="AZ224" s="5"/>
      <c r="BA224" s="5"/>
      <c r="BB224" s="5"/>
      <c r="BC224" s="5"/>
      <c r="BD224" s="5"/>
      <c r="BE224" s="5"/>
      <c r="BF224" s="5"/>
    </row>
    <row r="225" spans="2:58" s="141" customFormat="1" x14ac:dyDescent="0.25">
      <c r="B225" s="128"/>
      <c r="C225" s="109"/>
      <c r="D225" s="109"/>
      <c r="E225" s="129"/>
      <c r="F225" s="42"/>
      <c r="G225" s="5"/>
      <c r="H225" s="158"/>
      <c r="I225" s="171"/>
      <c r="J225" s="172"/>
      <c r="K225" s="161"/>
      <c r="L225" s="162"/>
      <c r="M225" s="162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32"/>
      <c r="AX225" s="32"/>
      <c r="AY225" s="32"/>
      <c r="AZ225" s="5"/>
      <c r="BA225" s="5"/>
      <c r="BB225" s="5"/>
      <c r="BC225" s="5"/>
      <c r="BD225" s="5"/>
      <c r="BE225" s="5"/>
      <c r="BF225" s="5"/>
    </row>
    <row r="226" spans="2:58" s="141" customFormat="1" x14ac:dyDescent="0.25">
      <c r="B226" s="128"/>
      <c r="C226" s="109"/>
      <c r="D226" s="109"/>
      <c r="E226" s="129"/>
      <c r="F226" s="42"/>
      <c r="G226" s="5"/>
      <c r="H226" s="158"/>
      <c r="I226" s="171"/>
      <c r="J226" s="172"/>
      <c r="K226" s="161"/>
      <c r="L226" s="162"/>
      <c r="M226" s="162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32"/>
      <c r="AX226" s="32"/>
      <c r="AY226" s="32"/>
      <c r="AZ226" s="5"/>
      <c r="BA226" s="5"/>
      <c r="BB226" s="5"/>
      <c r="BC226" s="5"/>
      <c r="BD226" s="5"/>
      <c r="BE226" s="5"/>
      <c r="BF226" s="5"/>
    </row>
    <row r="227" spans="2:58" s="141" customFormat="1" x14ac:dyDescent="0.25">
      <c r="B227" s="128"/>
      <c r="C227" s="109"/>
      <c r="D227" s="109"/>
      <c r="E227" s="129"/>
      <c r="F227" s="42"/>
      <c r="G227" s="5"/>
      <c r="H227" s="158"/>
      <c r="I227" s="171"/>
      <c r="J227" s="172"/>
      <c r="K227" s="161"/>
      <c r="L227" s="162"/>
      <c r="M227" s="162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32"/>
      <c r="AX227" s="32"/>
      <c r="AY227" s="32"/>
      <c r="AZ227" s="5"/>
      <c r="BA227" s="5"/>
      <c r="BB227" s="5"/>
      <c r="BC227" s="5"/>
      <c r="BD227" s="5"/>
      <c r="BE227" s="5"/>
      <c r="BF227" s="5"/>
    </row>
    <row r="228" spans="2:58" s="141" customFormat="1" x14ac:dyDescent="0.25">
      <c r="B228" s="128"/>
      <c r="C228" s="109"/>
      <c r="D228" s="109"/>
      <c r="E228" s="129"/>
      <c r="F228" s="42"/>
      <c r="G228" s="5"/>
      <c r="H228" s="158"/>
      <c r="I228" s="171"/>
      <c r="J228" s="172"/>
      <c r="K228" s="161"/>
      <c r="L228" s="162"/>
      <c r="M228" s="162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32"/>
      <c r="AX228" s="32"/>
      <c r="AY228" s="32"/>
      <c r="AZ228" s="5"/>
      <c r="BA228" s="5"/>
      <c r="BB228" s="5"/>
      <c r="BC228" s="5"/>
      <c r="BD228" s="5"/>
      <c r="BE228" s="5"/>
      <c r="BF228" s="5"/>
    </row>
    <row r="229" spans="2:58" s="141" customFormat="1" x14ac:dyDescent="0.25">
      <c r="B229" s="128"/>
      <c r="C229" s="109"/>
      <c r="D229" s="109"/>
      <c r="E229" s="129"/>
      <c r="F229" s="42"/>
      <c r="G229" s="5"/>
      <c r="H229" s="158"/>
      <c r="I229" s="171"/>
      <c r="J229" s="172"/>
      <c r="K229" s="161"/>
      <c r="L229" s="162"/>
      <c r="M229" s="162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32"/>
      <c r="AX229" s="32"/>
      <c r="AY229" s="32"/>
      <c r="AZ229" s="5"/>
      <c r="BA229" s="5"/>
      <c r="BB229" s="5"/>
      <c r="BC229" s="5"/>
      <c r="BD229" s="5"/>
      <c r="BE229" s="5"/>
      <c r="BF229" s="5"/>
    </row>
    <row r="230" spans="2:58" s="141" customFormat="1" x14ac:dyDescent="0.25">
      <c r="B230" s="128"/>
      <c r="C230" s="109"/>
      <c r="D230" s="109"/>
      <c r="E230" s="129"/>
      <c r="F230" s="42"/>
      <c r="G230" s="5"/>
      <c r="H230" s="158"/>
      <c r="I230" s="171"/>
      <c r="J230" s="172"/>
      <c r="K230" s="161"/>
      <c r="L230" s="162"/>
      <c r="M230" s="162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32"/>
      <c r="AX230" s="32"/>
      <c r="AY230" s="32"/>
      <c r="AZ230" s="5"/>
      <c r="BA230" s="5"/>
      <c r="BB230" s="5"/>
      <c r="BC230" s="5"/>
      <c r="BD230" s="5"/>
      <c r="BE230" s="5"/>
      <c r="BF230" s="5"/>
    </row>
    <row r="231" spans="2:58" s="141" customFormat="1" x14ac:dyDescent="0.25">
      <c r="B231" s="128"/>
      <c r="C231" s="109"/>
      <c r="D231" s="109"/>
      <c r="E231" s="129"/>
      <c r="F231" s="42"/>
      <c r="G231" s="5"/>
      <c r="H231" s="158"/>
      <c r="I231" s="171"/>
      <c r="J231" s="172"/>
      <c r="K231" s="161"/>
      <c r="L231" s="162"/>
      <c r="M231" s="162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32"/>
      <c r="AX231" s="32"/>
      <c r="AY231" s="32"/>
      <c r="AZ231" s="5"/>
      <c r="BA231" s="5"/>
      <c r="BB231" s="5"/>
      <c r="BC231" s="5"/>
      <c r="BD231" s="5"/>
      <c r="BE231" s="5"/>
      <c r="BF231" s="5"/>
    </row>
    <row r="232" spans="2:58" s="141" customFormat="1" x14ac:dyDescent="0.25">
      <c r="B232" s="128"/>
      <c r="C232" s="109"/>
      <c r="D232" s="109"/>
      <c r="E232" s="129"/>
      <c r="F232" s="42"/>
      <c r="G232" s="5"/>
      <c r="H232" s="158"/>
      <c r="I232" s="171"/>
      <c r="J232" s="172"/>
      <c r="K232" s="161"/>
      <c r="L232" s="162"/>
      <c r="M232" s="162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32"/>
      <c r="AX232" s="32"/>
      <c r="AY232" s="32"/>
      <c r="AZ232" s="5"/>
      <c r="BA232" s="5"/>
      <c r="BB232" s="5"/>
      <c r="BC232" s="5"/>
      <c r="BD232" s="5"/>
      <c r="BE232" s="5"/>
      <c r="BF232" s="5"/>
    </row>
    <row r="233" spans="2:58" s="141" customFormat="1" x14ac:dyDescent="0.25">
      <c r="B233" s="128"/>
      <c r="C233" s="109"/>
      <c r="D233" s="109"/>
      <c r="E233" s="129"/>
      <c r="F233" s="42"/>
      <c r="G233" s="5"/>
      <c r="H233" s="158"/>
      <c r="I233" s="171"/>
      <c r="J233" s="172"/>
      <c r="K233" s="161"/>
      <c r="L233" s="162"/>
      <c r="M233" s="162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32"/>
      <c r="AX233" s="32"/>
      <c r="AY233" s="32"/>
      <c r="AZ233" s="5"/>
      <c r="BA233" s="5"/>
      <c r="BB233" s="5"/>
      <c r="BC233" s="5"/>
      <c r="BD233" s="5"/>
      <c r="BE233" s="5"/>
      <c r="BF233" s="5"/>
    </row>
    <row r="234" spans="2:58" s="141" customFormat="1" x14ac:dyDescent="0.25">
      <c r="B234" s="128"/>
      <c r="C234" s="109"/>
      <c r="D234" s="109"/>
      <c r="E234" s="129"/>
      <c r="F234" s="42"/>
      <c r="G234" s="5"/>
      <c r="H234" s="158"/>
      <c r="I234" s="171"/>
      <c r="J234" s="172"/>
      <c r="K234" s="161"/>
      <c r="L234" s="162"/>
      <c r="M234" s="162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32"/>
      <c r="AX234" s="32"/>
      <c r="AY234" s="32"/>
      <c r="AZ234" s="5"/>
      <c r="BA234" s="5"/>
      <c r="BB234" s="5"/>
      <c r="BC234" s="5"/>
      <c r="BD234" s="5"/>
      <c r="BE234" s="5"/>
      <c r="BF234" s="5"/>
    </row>
    <row r="235" spans="2:58" s="141" customFormat="1" x14ac:dyDescent="0.25">
      <c r="B235" s="128"/>
      <c r="C235" s="109"/>
      <c r="D235" s="109"/>
      <c r="E235" s="129"/>
      <c r="F235" s="42"/>
      <c r="G235" s="5"/>
      <c r="H235" s="158"/>
      <c r="I235" s="171"/>
      <c r="J235" s="172"/>
      <c r="K235" s="161"/>
      <c r="L235" s="162"/>
      <c r="M235" s="162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32"/>
      <c r="AX235" s="32"/>
      <c r="AY235" s="32"/>
      <c r="AZ235" s="5"/>
      <c r="BA235" s="5"/>
      <c r="BB235" s="5"/>
      <c r="BC235" s="5"/>
      <c r="BD235" s="5"/>
      <c r="BE235" s="5"/>
      <c r="BF235" s="5"/>
    </row>
    <row r="236" spans="2:58" s="141" customFormat="1" x14ac:dyDescent="0.25">
      <c r="B236" s="128"/>
      <c r="C236" s="109"/>
      <c r="D236" s="109"/>
      <c r="E236" s="129"/>
      <c r="F236" s="42"/>
      <c r="G236" s="5"/>
      <c r="H236" s="158"/>
      <c r="I236" s="171"/>
      <c r="J236" s="172"/>
      <c r="K236" s="161"/>
      <c r="L236" s="162"/>
      <c r="M236" s="162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32"/>
      <c r="AX236" s="32"/>
      <c r="AY236" s="32"/>
      <c r="AZ236" s="5"/>
      <c r="BA236" s="5"/>
      <c r="BB236" s="5"/>
      <c r="BC236" s="5"/>
      <c r="BD236" s="5"/>
      <c r="BE236" s="5"/>
      <c r="BF236" s="5"/>
    </row>
    <row r="237" spans="2:58" s="141" customFormat="1" x14ac:dyDescent="0.25">
      <c r="B237" s="128"/>
      <c r="C237" s="109"/>
      <c r="D237" s="109"/>
      <c r="E237" s="129"/>
      <c r="F237" s="42"/>
      <c r="G237" s="5"/>
      <c r="H237" s="158"/>
      <c r="I237" s="171"/>
      <c r="J237" s="172"/>
      <c r="K237" s="161"/>
      <c r="L237" s="162"/>
      <c r="M237" s="162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32"/>
      <c r="AX237" s="32"/>
      <c r="AY237" s="32"/>
      <c r="AZ237" s="5"/>
      <c r="BA237" s="5"/>
      <c r="BB237" s="5"/>
      <c r="BC237" s="5"/>
      <c r="BD237" s="5"/>
      <c r="BE237" s="5"/>
      <c r="BF237" s="5"/>
    </row>
    <row r="238" spans="2:58" s="141" customFormat="1" x14ac:dyDescent="0.25">
      <c r="B238" s="128"/>
      <c r="C238" s="109"/>
      <c r="D238" s="109"/>
      <c r="E238" s="129"/>
      <c r="F238" s="42"/>
      <c r="G238" s="5"/>
      <c r="H238" s="158"/>
      <c r="I238" s="171"/>
      <c r="J238" s="172"/>
      <c r="K238" s="161"/>
      <c r="L238" s="162"/>
      <c r="M238" s="162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32"/>
      <c r="AX238" s="32"/>
      <c r="AY238" s="32"/>
      <c r="AZ238" s="5"/>
      <c r="BA238" s="5"/>
      <c r="BB238" s="5"/>
      <c r="BC238" s="5"/>
      <c r="BD238" s="5"/>
      <c r="BE238" s="5"/>
      <c r="BF238" s="5"/>
    </row>
    <row r="239" spans="2:58" s="141" customFormat="1" x14ac:dyDescent="0.25">
      <c r="B239" s="128"/>
      <c r="C239" s="109"/>
      <c r="D239" s="109"/>
      <c r="E239" s="129"/>
      <c r="F239" s="42"/>
      <c r="G239" s="5"/>
      <c r="H239" s="158"/>
      <c r="I239" s="171"/>
      <c r="J239" s="172"/>
      <c r="K239" s="161"/>
      <c r="L239" s="162"/>
      <c r="M239" s="162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32"/>
      <c r="AX239" s="32"/>
      <c r="AY239" s="32"/>
      <c r="AZ239" s="5"/>
      <c r="BA239" s="5"/>
      <c r="BB239" s="5"/>
      <c r="BC239" s="5"/>
      <c r="BD239" s="5"/>
      <c r="BE239" s="5"/>
      <c r="BF239" s="5"/>
    </row>
    <row r="240" spans="2:58" s="141" customFormat="1" x14ac:dyDescent="0.25">
      <c r="B240" s="128"/>
      <c r="C240" s="109"/>
      <c r="D240" s="109"/>
      <c r="E240" s="129"/>
      <c r="F240" s="42"/>
      <c r="G240" s="5"/>
      <c r="H240" s="158"/>
      <c r="I240" s="171"/>
      <c r="J240" s="172"/>
      <c r="K240" s="161"/>
      <c r="L240" s="162"/>
      <c r="M240" s="162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32"/>
      <c r="AX240" s="32"/>
      <c r="AY240" s="32"/>
      <c r="AZ240" s="5"/>
      <c r="BA240" s="5"/>
      <c r="BB240" s="5"/>
      <c r="BC240" s="5"/>
      <c r="BD240" s="5"/>
      <c r="BE240" s="5"/>
      <c r="BF240" s="5"/>
    </row>
    <row r="241" spans="2:58" s="141" customFormat="1" x14ac:dyDescent="0.25">
      <c r="B241" s="128"/>
      <c r="C241" s="109"/>
      <c r="D241" s="109"/>
      <c r="E241" s="129"/>
      <c r="F241" s="42"/>
      <c r="G241" s="5"/>
      <c r="H241" s="158"/>
      <c r="I241" s="171"/>
      <c r="J241" s="172"/>
      <c r="K241" s="161"/>
      <c r="L241" s="162"/>
      <c r="M241" s="162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32"/>
      <c r="AX241" s="32"/>
      <c r="AY241" s="32"/>
      <c r="AZ241" s="5"/>
      <c r="BA241" s="5"/>
      <c r="BB241" s="5"/>
      <c r="BC241" s="5"/>
      <c r="BD241" s="5"/>
      <c r="BE241" s="5"/>
      <c r="BF241" s="5"/>
    </row>
    <row r="242" spans="2:58" s="141" customFormat="1" x14ac:dyDescent="0.25">
      <c r="B242" s="128"/>
      <c r="C242" s="109"/>
      <c r="D242" s="109"/>
      <c r="E242" s="129"/>
      <c r="F242" s="42"/>
      <c r="G242" s="5"/>
      <c r="H242" s="158"/>
      <c r="I242" s="171"/>
      <c r="J242" s="172"/>
      <c r="K242" s="161"/>
      <c r="L242" s="162"/>
      <c r="M242" s="162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32"/>
      <c r="AX242" s="32"/>
      <c r="AY242" s="32"/>
      <c r="AZ242" s="5"/>
      <c r="BA242" s="5"/>
      <c r="BB242" s="5"/>
      <c r="BC242" s="5"/>
      <c r="BD242" s="5"/>
      <c r="BE242" s="5"/>
      <c r="BF242" s="5"/>
    </row>
    <row r="243" spans="2:58" s="141" customFormat="1" x14ac:dyDescent="0.25">
      <c r="B243" s="128"/>
      <c r="C243" s="109"/>
      <c r="D243" s="109"/>
      <c r="E243" s="129"/>
      <c r="F243" s="42"/>
      <c r="G243" s="5"/>
      <c r="H243" s="158"/>
      <c r="I243" s="171"/>
      <c r="J243" s="172"/>
      <c r="K243" s="161"/>
      <c r="L243" s="162"/>
      <c r="M243" s="162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32"/>
      <c r="AX243" s="32"/>
      <c r="AY243" s="32"/>
      <c r="AZ243" s="5"/>
      <c r="BA243" s="5"/>
      <c r="BB243" s="5"/>
      <c r="BC243" s="5"/>
      <c r="BD243" s="5"/>
      <c r="BE243" s="5"/>
      <c r="BF243" s="5"/>
    </row>
    <row r="244" spans="2:58" s="141" customFormat="1" x14ac:dyDescent="0.25">
      <c r="B244" s="128"/>
      <c r="C244" s="109"/>
      <c r="D244" s="109"/>
      <c r="E244" s="129"/>
      <c r="F244" s="42"/>
      <c r="G244" s="5"/>
      <c r="H244" s="158"/>
      <c r="I244" s="171"/>
      <c r="J244" s="172"/>
      <c r="K244" s="161"/>
      <c r="L244" s="162"/>
      <c r="M244" s="162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32"/>
      <c r="AX244" s="32"/>
      <c r="AY244" s="32"/>
      <c r="AZ244" s="5"/>
      <c r="BA244" s="5"/>
      <c r="BB244" s="5"/>
      <c r="BC244" s="5"/>
      <c r="BD244" s="5"/>
      <c r="BE244" s="5"/>
      <c r="BF244" s="5"/>
    </row>
    <row r="245" spans="2:58" s="141" customFormat="1" x14ac:dyDescent="0.25">
      <c r="B245" s="128"/>
      <c r="C245" s="109"/>
      <c r="D245" s="109"/>
      <c r="E245" s="129"/>
      <c r="F245" s="42"/>
      <c r="G245" s="5"/>
      <c r="H245" s="158"/>
      <c r="I245" s="171"/>
      <c r="J245" s="172"/>
      <c r="K245" s="161"/>
      <c r="L245" s="162"/>
      <c r="M245" s="162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32"/>
      <c r="AX245" s="32"/>
      <c r="AY245" s="32"/>
      <c r="AZ245" s="5"/>
      <c r="BA245" s="5"/>
      <c r="BB245" s="5"/>
      <c r="BC245" s="5"/>
      <c r="BD245" s="5"/>
      <c r="BE245" s="5"/>
      <c r="BF245" s="5"/>
    </row>
    <row r="246" spans="2:58" s="141" customFormat="1" x14ac:dyDescent="0.25">
      <c r="B246" s="128"/>
      <c r="C246" s="109"/>
      <c r="D246" s="109"/>
      <c r="E246" s="129"/>
      <c r="F246" s="42"/>
      <c r="G246" s="5"/>
      <c r="H246" s="158"/>
      <c r="I246" s="171"/>
      <c r="J246" s="172"/>
      <c r="K246" s="161"/>
      <c r="L246" s="162"/>
      <c r="M246" s="162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32"/>
      <c r="AX246" s="32"/>
      <c r="AY246" s="32"/>
      <c r="AZ246" s="5"/>
      <c r="BA246" s="5"/>
      <c r="BB246" s="5"/>
      <c r="BC246" s="5"/>
      <c r="BD246" s="5"/>
      <c r="BE246" s="5"/>
      <c r="BF246" s="5"/>
    </row>
    <row r="247" spans="2:58" s="141" customFormat="1" x14ac:dyDescent="0.25">
      <c r="B247" s="128"/>
      <c r="C247" s="109"/>
      <c r="D247" s="109"/>
      <c r="E247" s="129"/>
      <c r="F247" s="42"/>
      <c r="G247" s="5"/>
      <c r="H247" s="158"/>
      <c r="I247" s="171"/>
      <c r="J247" s="172"/>
      <c r="K247" s="161"/>
      <c r="L247" s="162"/>
      <c r="M247" s="162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32"/>
      <c r="AX247" s="32"/>
      <c r="AY247" s="32"/>
      <c r="AZ247" s="5"/>
      <c r="BA247" s="5"/>
      <c r="BB247" s="5"/>
      <c r="BC247" s="5"/>
      <c r="BD247" s="5"/>
      <c r="BE247" s="5"/>
      <c r="BF247" s="5"/>
    </row>
    <row r="248" spans="2:58" s="141" customFormat="1" x14ac:dyDescent="0.25">
      <c r="B248" s="128"/>
      <c r="C248" s="109"/>
      <c r="D248" s="109"/>
      <c r="E248" s="129"/>
      <c r="F248" s="42"/>
      <c r="G248" s="5"/>
      <c r="H248" s="158"/>
      <c r="I248" s="171"/>
      <c r="J248" s="172"/>
      <c r="K248" s="161"/>
      <c r="L248" s="162"/>
      <c r="M248" s="162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32"/>
      <c r="AX248" s="32"/>
      <c r="AY248" s="32"/>
      <c r="AZ248" s="5"/>
      <c r="BA248" s="5"/>
      <c r="BB248" s="5"/>
      <c r="BC248" s="5"/>
      <c r="BD248" s="5"/>
      <c r="BE248" s="5"/>
      <c r="BF248" s="5"/>
    </row>
    <row r="249" spans="2:58" s="141" customFormat="1" x14ac:dyDescent="0.25">
      <c r="B249" s="128"/>
      <c r="C249" s="109"/>
      <c r="D249" s="109"/>
      <c r="E249" s="129"/>
      <c r="F249" s="42"/>
      <c r="G249" s="5"/>
      <c r="H249" s="158"/>
      <c r="I249" s="171"/>
      <c r="J249" s="172"/>
      <c r="K249" s="161"/>
      <c r="L249" s="162"/>
      <c r="M249" s="162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32"/>
      <c r="AX249" s="32"/>
      <c r="AY249" s="32"/>
      <c r="AZ249" s="5"/>
      <c r="BA249" s="5"/>
      <c r="BB249" s="5"/>
      <c r="BC249" s="5"/>
      <c r="BD249" s="5"/>
      <c r="BE249" s="5"/>
      <c r="BF249" s="5"/>
    </row>
    <row r="250" spans="2:58" s="141" customFormat="1" x14ac:dyDescent="0.25">
      <c r="B250" s="128"/>
      <c r="C250" s="109"/>
      <c r="D250" s="109"/>
      <c r="E250" s="129"/>
      <c r="F250" s="42"/>
      <c r="G250" s="5"/>
      <c r="H250" s="158"/>
      <c r="I250" s="171"/>
      <c r="J250" s="172"/>
      <c r="K250" s="161"/>
      <c r="L250" s="162"/>
      <c r="M250" s="162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32"/>
      <c r="AX250" s="32"/>
      <c r="AY250" s="32"/>
      <c r="AZ250" s="5"/>
      <c r="BA250" s="5"/>
      <c r="BB250" s="5"/>
      <c r="BC250" s="5"/>
      <c r="BD250" s="5"/>
      <c r="BE250" s="5"/>
      <c r="BF250" s="5"/>
    </row>
    <row r="251" spans="2:58" s="141" customFormat="1" x14ac:dyDescent="0.25">
      <c r="B251" s="128"/>
      <c r="C251" s="109"/>
      <c r="D251" s="109"/>
      <c r="E251" s="129"/>
      <c r="F251" s="42"/>
      <c r="G251" s="5"/>
      <c r="H251" s="158"/>
      <c r="I251" s="171"/>
      <c r="J251" s="172"/>
      <c r="K251" s="161"/>
      <c r="L251" s="162"/>
      <c r="M251" s="162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32"/>
      <c r="AX251" s="32"/>
      <c r="AY251" s="32"/>
      <c r="AZ251" s="5"/>
      <c r="BA251" s="5"/>
      <c r="BB251" s="5"/>
      <c r="BC251" s="5"/>
      <c r="BD251" s="5"/>
      <c r="BE251" s="5"/>
      <c r="BF251" s="5"/>
    </row>
    <row r="252" spans="2:58" s="141" customFormat="1" x14ac:dyDescent="0.25">
      <c r="B252" s="128"/>
      <c r="C252" s="109"/>
      <c r="D252" s="109"/>
      <c r="E252" s="129"/>
      <c r="F252" s="42"/>
      <c r="G252" s="5"/>
      <c r="H252" s="158"/>
      <c r="I252" s="171"/>
      <c r="J252" s="172"/>
      <c r="K252" s="161"/>
      <c r="L252" s="162"/>
      <c r="M252" s="162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32"/>
      <c r="AX252" s="32"/>
      <c r="AY252" s="32"/>
      <c r="AZ252" s="5"/>
      <c r="BA252" s="5"/>
      <c r="BB252" s="5"/>
      <c r="BC252" s="5"/>
      <c r="BD252" s="5"/>
      <c r="BE252" s="5"/>
      <c r="BF252" s="5"/>
    </row>
    <row r="253" spans="2:58" s="141" customFormat="1" x14ac:dyDescent="0.25">
      <c r="B253" s="128"/>
      <c r="C253" s="109"/>
      <c r="D253" s="109"/>
      <c r="E253" s="129"/>
      <c r="F253" s="42"/>
      <c r="G253" s="5"/>
      <c r="H253" s="158"/>
      <c r="I253" s="171"/>
      <c r="J253" s="172"/>
      <c r="K253" s="161"/>
      <c r="L253" s="162"/>
      <c r="M253" s="162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32"/>
      <c r="AX253" s="32"/>
      <c r="AY253" s="32"/>
      <c r="AZ253" s="5"/>
      <c r="BA253" s="5"/>
      <c r="BB253" s="5"/>
      <c r="BC253" s="5"/>
      <c r="BD253" s="5"/>
      <c r="BE253" s="5"/>
      <c r="BF253" s="5"/>
    </row>
    <row r="254" spans="2:58" s="141" customFormat="1" x14ac:dyDescent="0.25">
      <c r="B254" s="128"/>
      <c r="C254" s="109"/>
      <c r="D254" s="109"/>
      <c r="E254" s="129"/>
      <c r="F254" s="42"/>
      <c r="G254" s="5"/>
      <c r="H254" s="158"/>
      <c r="I254" s="171"/>
      <c r="J254" s="172"/>
      <c r="K254" s="161"/>
      <c r="L254" s="162"/>
      <c r="M254" s="162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32"/>
      <c r="AX254" s="32"/>
      <c r="AY254" s="32"/>
      <c r="AZ254" s="5"/>
      <c r="BA254" s="5"/>
      <c r="BB254" s="5"/>
      <c r="BC254" s="5"/>
      <c r="BD254" s="5"/>
      <c r="BE254" s="5"/>
      <c r="BF254" s="5"/>
    </row>
    <row r="255" spans="2:58" s="141" customFormat="1" x14ac:dyDescent="0.25">
      <c r="B255" s="128"/>
      <c r="C255" s="109"/>
      <c r="D255" s="109"/>
      <c r="E255" s="129"/>
      <c r="F255" s="42"/>
      <c r="G255" s="5"/>
      <c r="H255" s="158"/>
      <c r="I255" s="171"/>
      <c r="J255" s="172"/>
      <c r="K255" s="161"/>
      <c r="L255" s="162"/>
      <c r="M255" s="162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32"/>
      <c r="AX255" s="32"/>
      <c r="AY255" s="32"/>
      <c r="AZ255" s="5"/>
      <c r="BA255" s="5"/>
      <c r="BB255" s="5"/>
      <c r="BC255" s="5"/>
      <c r="BD255" s="5"/>
      <c r="BE255" s="5"/>
      <c r="BF255" s="5"/>
    </row>
    <row r="256" spans="2:58" s="141" customFormat="1" x14ac:dyDescent="0.25">
      <c r="B256" s="128"/>
      <c r="C256" s="109"/>
      <c r="D256" s="109"/>
      <c r="E256" s="129"/>
      <c r="F256" s="42"/>
      <c r="G256" s="5"/>
      <c r="H256" s="158"/>
      <c r="I256" s="171"/>
      <c r="J256" s="172"/>
      <c r="K256" s="161"/>
      <c r="L256" s="162"/>
      <c r="M256" s="162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32"/>
      <c r="AX256" s="32"/>
      <c r="AY256" s="32"/>
      <c r="AZ256" s="5"/>
      <c r="BA256" s="5"/>
      <c r="BB256" s="5"/>
      <c r="BC256" s="5"/>
      <c r="BD256" s="5"/>
      <c r="BE256" s="5"/>
      <c r="BF256" s="5"/>
    </row>
    <row r="257" spans="2:58" s="141" customFormat="1" x14ac:dyDescent="0.25">
      <c r="B257" s="128"/>
      <c r="C257" s="109"/>
      <c r="D257" s="109"/>
      <c r="E257" s="129"/>
      <c r="F257" s="42"/>
      <c r="G257" s="5"/>
      <c r="H257" s="158"/>
      <c r="I257" s="171"/>
      <c r="J257" s="172"/>
      <c r="K257" s="161"/>
      <c r="L257" s="162"/>
      <c r="M257" s="162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32"/>
      <c r="AX257" s="32"/>
      <c r="AY257" s="32"/>
      <c r="AZ257" s="5"/>
      <c r="BA257" s="5"/>
      <c r="BB257" s="5"/>
      <c r="BC257" s="5"/>
      <c r="BD257" s="5"/>
      <c r="BE257" s="5"/>
      <c r="BF257" s="5"/>
    </row>
    <row r="258" spans="2:58" s="141" customFormat="1" x14ac:dyDescent="0.25">
      <c r="B258" s="128"/>
      <c r="C258" s="109"/>
      <c r="D258" s="109"/>
      <c r="E258" s="129"/>
      <c r="F258" s="42"/>
      <c r="G258" s="5"/>
      <c r="H258" s="158"/>
      <c r="I258" s="171"/>
      <c r="J258" s="172"/>
      <c r="K258" s="161"/>
      <c r="L258" s="162"/>
      <c r="M258" s="162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32"/>
      <c r="AX258" s="32"/>
      <c r="AY258" s="32"/>
      <c r="AZ258" s="5"/>
      <c r="BA258" s="5"/>
      <c r="BB258" s="5"/>
      <c r="BC258" s="5"/>
      <c r="BD258" s="5"/>
      <c r="BE258" s="5"/>
      <c r="BF258" s="5"/>
    </row>
    <row r="259" spans="2:58" s="141" customFormat="1" x14ac:dyDescent="0.25">
      <c r="B259" s="128"/>
      <c r="C259" s="109"/>
      <c r="D259" s="109"/>
      <c r="E259" s="129"/>
      <c r="F259" s="42"/>
      <c r="G259" s="5"/>
      <c r="H259" s="158"/>
      <c r="I259" s="171"/>
      <c r="J259" s="172"/>
      <c r="K259" s="161"/>
      <c r="L259" s="162"/>
      <c r="M259" s="162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32"/>
      <c r="AX259" s="32"/>
      <c r="AY259" s="32"/>
      <c r="AZ259" s="5"/>
      <c r="BA259" s="5"/>
      <c r="BB259" s="5"/>
      <c r="BC259" s="5"/>
      <c r="BD259" s="5"/>
      <c r="BE259" s="5"/>
      <c r="BF259" s="5"/>
    </row>
    <row r="260" spans="2:58" s="141" customFormat="1" x14ac:dyDescent="0.25">
      <c r="B260" s="128"/>
      <c r="C260" s="109"/>
      <c r="D260" s="109"/>
      <c r="E260" s="129"/>
      <c r="F260" s="42"/>
      <c r="G260" s="5"/>
      <c r="H260" s="158"/>
      <c r="I260" s="171"/>
      <c r="J260" s="172"/>
      <c r="K260" s="161"/>
      <c r="L260" s="162"/>
      <c r="M260" s="162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32"/>
      <c r="AX260" s="32"/>
      <c r="AY260" s="32"/>
      <c r="AZ260" s="5"/>
      <c r="BA260" s="5"/>
      <c r="BB260" s="5"/>
      <c r="BC260" s="5"/>
      <c r="BD260" s="5"/>
      <c r="BE260" s="5"/>
      <c r="BF260" s="5"/>
    </row>
    <row r="261" spans="2:58" s="141" customFormat="1" x14ac:dyDescent="0.25">
      <c r="B261" s="128"/>
      <c r="C261" s="109"/>
      <c r="D261" s="109"/>
      <c r="E261" s="129"/>
      <c r="F261" s="42"/>
      <c r="G261" s="5"/>
      <c r="H261" s="158"/>
      <c r="I261" s="171"/>
      <c r="J261" s="172"/>
      <c r="K261" s="161"/>
      <c r="L261" s="162"/>
      <c r="M261" s="162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32"/>
      <c r="AX261" s="32"/>
      <c r="AY261" s="32"/>
      <c r="AZ261" s="5"/>
      <c r="BA261" s="5"/>
      <c r="BB261" s="5"/>
      <c r="BC261" s="5"/>
      <c r="BD261" s="5"/>
      <c r="BE261" s="5"/>
      <c r="BF261" s="5"/>
    </row>
    <row r="262" spans="2:58" s="141" customFormat="1" x14ac:dyDescent="0.25">
      <c r="B262" s="128"/>
      <c r="C262" s="109"/>
      <c r="D262" s="109"/>
      <c r="E262" s="129"/>
      <c r="F262" s="42"/>
      <c r="G262" s="5"/>
      <c r="H262" s="158"/>
      <c r="I262" s="171"/>
      <c r="J262" s="172"/>
      <c r="K262" s="161"/>
      <c r="L262" s="162"/>
      <c r="M262" s="162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32"/>
      <c r="AX262" s="32"/>
      <c r="AY262" s="32"/>
      <c r="AZ262" s="5"/>
      <c r="BA262" s="5"/>
      <c r="BB262" s="5"/>
      <c r="BC262" s="5"/>
      <c r="BD262" s="5"/>
      <c r="BE262" s="5"/>
      <c r="BF262" s="5"/>
    </row>
    <row r="263" spans="2:58" s="141" customFormat="1" x14ac:dyDescent="0.25">
      <c r="B263" s="128"/>
      <c r="C263" s="109"/>
      <c r="D263" s="109"/>
      <c r="E263" s="129"/>
      <c r="F263" s="42"/>
      <c r="G263" s="5"/>
      <c r="H263" s="158"/>
      <c r="I263" s="171"/>
      <c r="J263" s="172"/>
      <c r="K263" s="161"/>
      <c r="L263" s="162"/>
      <c r="M263" s="162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32"/>
      <c r="AX263" s="32"/>
      <c r="AY263" s="32"/>
      <c r="AZ263" s="5"/>
      <c r="BA263" s="5"/>
      <c r="BB263" s="5"/>
      <c r="BC263" s="5"/>
      <c r="BD263" s="5"/>
      <c r="BE263" s="5"/>
      <c r="BF263" s="5"/>
    </row>
    <row r="264" spans="2:58" s="141" customFormat="1" x14ac:dyDescent="0.25">
      <c r="B264" s="128"/>
      <c r="C264" s="109"/>
      <c r="D264" s="109"/>
      <c r="E264" s="129"/>
      <c r="F264" s="42"/>
      <c r="G264" s="5"/>
      <c r="H264" s="158"/>
      <c r="I264" s="171"/>
      <c r="J264" s="172"/>
      <c r="K264" s="161"/>
      <c r="L264" s="162"/>
      <c r="M264" s="162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32"/>
      <c r="AX264" s="32"/>
      <c r="AY264" s="32"/>
      <c r="AZ264" s="5"/>
      <c r="BA264" s="5"/>
      <c r="BB264" s="5"/>
      <c r="BC264" s="5"/>
      <c r="BD264" s="5"/>
      <c r="BE264" s="5"/>
      <c r="BF264" s="5"/>
    </row>
    <row r="265" spans="2:58" s="141" customFormat="1" x14ac:dyDescent="0.25">
      <c r="B265" s="128"/>
      <c r="C265" s="109"/>
      <c r="D265" s="109"/>
      <c r="E265" s="129"/>
      <c r="F265" s="42"/>
      <c r="G265" s="5"/>
      <c r="H265" s="158"/>
      <c r="I265" s="171"/>
      <c r="J265" s="172"/>
      <c r="K265" s="161"/>
      <c r="L265" s="162"/>
      <c r="M265" s="162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32"/>
      <c r="AX265" s="32"/>
      <c r="AY265" s="32"/>
      <c r="AZ265" s="5"/>
      <c r="BA265" s="5"/>
      <c r="BB265" s="5"/>
      <c r="BC265" s="5"/>
      <c r="BD265" s="5"/>
      <c r="BE265" s="5"/>
      <c r="BF265" s="5"/>
    </row>
    <row r="266" spans="2:58" s="141" customFormat="1" x14ac:dyDescent="0.25">
      <c r="B266" s="128"/>
      <c r="C266" s="109"/>
      <c r="D266" s="109"/>
      <c r="E266" s="129"/>
      <c r="F266" s="42"/>
      <c r="G266" s="5"/>
      <c r="H266" s="158"/>
      <c r="I266" s="171"/>
      <c r="J266" s="172"/>
      <c r="K266" s="161"/>
      <c r="L266" s="162"/>
      <c r="M266" s="162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32"/>
      <c r="AX266" s="32"/>
      <c r="AY266" s="32"/>
      <c r="AZ266" s="5"/>
      <c r="BA266" s="5"/>
      <c r="BB266" s="5"/>
      <c r="BC266" s="5"/>
      <c r="BD266" s="5"/>
      <c r="BE266" s="5"/>
      <c r="BF266" s="5"/>
    </row>
    <row r="267" spans="2:58" s="141" customFormat="1" x14ac:dyDescent="0.25">
      <c r="B267" s="128"/>
      <c r="C267" s="109"/>
      <c r="D267" s="109"/>
      <c r="E267" s="129"/>
      <c r="F267" s="42"/>
      <c r="G267" s="5"/>
      <c r="H267" s="158"/>
      <c r="I267" s="171"/>
      <c r="J267" s="172"/>
      <c r="K267" s="161"/>
      <c r="L267" s="162"/>
      <c r="M267" s="162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32"/>
      <c r="AX267" s="32"/>
      <c r="AY267" s="32"/>
      <c r="AZ267" s="5"/>
      <c r="BA267" s="5"/>
      <c r="BB267" s="5"/>
      <c r="BC267" s="5"/>
      <c r="BD267" s="5"/>
      <c r="BE267" s="5"/>
      <c r="BF267" s="5"/>
    </row>
    <row r="268" spans="2:58" s="141" customFormat="1" x14ac:dyDescent="0.25">
      <c r="B268" s="128"/>
      <c r="C268" s="109"/>
      <c r="D268" s="109"/>
      <c r="E268" s="129"/>
      <c r="F268" s="42"/>
      <c r="G268" s="5"/>
      <c r="H268" s="158"/>
      <c r="I268" s="171"/>
      <c r="J268" s="172"/>
      <c r="K268" s="161"/>
      <c r="L268" s="162"/>
      <c r="M268" s="162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32"/>
      <c r="AX268" s="32"/>
      <c r="AY268" s="32"/>
      <c r="AZ268" s="5"/>
      <c r="BA268" s="5"/>
      <c r="BB268" s="5"/>
      <c r="BC268" s="5"/>
      <c r="BD268" s="5"/>
      <c r="BE268" s="5"/>
      <c r="BF268" s="5"/>
    </row>
    <row r="269" spans="2:58" s="141" customFormat="1" x14ac:dyDescent="0.25">
      <c r="B269" s="128"/>
      <c r="C269" s="109"/>
      <c r="D269" s="109"/>
      <c r="E269" s="129"/>
      <c r="F269" s="42"/>
      <c r="G269" s="5"/>
      <c r="H269" s="158"/>
      <c r="I269" s="171"/>
      <c r="J269" s="172"/>
      <c r="K269" s="161"/>
      <c r="L269" s="162"/>
      <c r="M269" s="162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32"/>
      <c r="AX269" s="32"/>
      <c r="AY269" s="32"/>
      <c r="AZ269" s="5"/>
      <c r="BA269" s="5"/>
      <c r="BB269" s="5"/>
      <c r="BC269" s="5"/>
      <c r="BD269" s="5"/>
      <c r="BE269" s="5"/>
      <c r="BF269" s="5"/>
    </row>
    <row r="270" spans="2:58" s="141" customFormat="1" x14ac:dyDescent="0.25">
      <c r="B270" s="128"/>
      <c r="C270" s="109"/>
      <c r="D270" s="109"/>
      <c r="E270" s="129"/>
      <c r="F270" s="42"/>
      <c r="G270" s="5"/>
      <c r="H270" s="158"/>
      <c r="I270" s="171"/>
      <c r="J270" s="172"/>
      <c r="K270" s="161"/>
      <c r="L270" s="162"/>
      <c r="M270" s="162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32"/>
      <c r="AX270" s="32"/>
      <c r="AY270" s="32"/>
      <c r="AZ270" s="5"/>
      <c r="BA270" s="5"/>
      <c r="BB270" s="5"/>
      <c r="BC270" s="5"/>
      <c r="BD270" s="5"/>
      <c r="BE270" s="5"/>
      <c r="BF270" s="5"/>
    </row>
    <row r="271" spans="2:58" s="141" customFormat="1" x14ac:dyDescent="0.25">
      <c r="B271" s="128"/>
      <c r="C271" s="109"/>
      <c r="D271" s="109"/>
      <c r="E271" s="129"/>
      <c r="F271" s="42"/>
      <c r="G271" s="5"/>
      <c r="H271" s="158"/>
      <c r="I271" s="171"/>
      <c r="J271" s="172"/>
      <c r="K271" s="161"/>
      <c r="L271" s="162"/>
      <c r="M271" s="162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32"/>
      <c r="AX271" s="32"/>
      <c r="AY271" s="32"/>
      <c r="AZ271" s="5"/>
      <c r="BA271" s="5"/>
      <c r="BB271" s="5"/>
      <c r="BC271" s="5"/>
      <c r="BD271" s="5"/>
      <c r="BE271" s="5"/>
      <c r="BF271" s="5"/>
    </row>
    <row r="272" spans="2:58" s="141" customFormat="1" x14ac:dyDescent="0.25">
      <c r="B272" s="128"/>
      <c r="C272" s="109"/>
      <c r="D272" s="109"/>
      <c r="E272" s="129"/>
      <c r="F272" s="42"/>
      <c r="G272" s="5"/>
      <c r="H272" s="158"/>
      <c r="I272" s="171"/>
      <c r="J272" s="172"/>
      <c r="K272" s="161"/>
      <c r="L272" s="162"/>
      <c r="M272" s="162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32"/>
      <c r="AX272" s="32"/>
      <c r="AY272" s="32"/>
      <c r="AZ272" s="5"/>
      <c r="BA272" s="5"/>
      <c r="BB272" s="5"/>
      <c r="BC272" s="5"/>
      <c r="BD272" s="5"/>
      <c r="BE272" s="5"/>
      <c r="BF272" s="5"/>
    </row>
    <row r="273" spans="2:58" s="141" customFormat="1" x14ac:dyDescent="0.25">
      <c r="B273" s="128"/>
      <c r="C273" s="109"/>
      <c r="D273" s="109"/>
      <c r="E273" s="129"/>
      <c r="F273" s="42"/>
      <c r="G273" s="5"/>
      <c r="H273" s="158"/>
      <c r="I273" s="171"/>
      <c r="J273" s="172"/>
      <c r="K273" s="161"/>
      <c r="L273" s="162"/>
      <c r="M273" s="162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32"/>
      <c r="AX273" s="32"/>
      <c r="AY273" s="32"/>
      <c r="AZ273" s="5"/>
      <c r="BA273" s="5"/>
      <c r="BB273" s="5"/>
      <c r="BC273" s="5"/>
      <c r="BD273" s="5"/>
      <c r="BE273" s="5"/>
      <c r="BF273" s="5"/>
    </row>
    <row r="274" spans="2:58" s="141" customFormat="1" x14ac:dyDescent="0.25">
      <c r="B274" s="128"/>
      <c r="C274" s="109"/>
      <c r="D274" s="109"/>
      <c r="E274" s="129"/>
      <c r="F274" s="42"/>
      <c r="G274" s="5"/>
      <c r="H274" s="158"/>
      <c r="I274" s="171"/>
      <c r="J274" s="172"/>
      <c r="K274" s="161"/>
      <c r="L274" s="162"/>
      <c r="M274" s="162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32"/>
      <c r="AX274" s="32"/>
      <c r="AY274" s="32"/>
      <c r="AZ274" s="5"/>
      <c r="BA274" s="5"/>
      <c r="BB274" s="5"/>
      <c r="BC274" s="5"/>
      <c r="BD274" s="5"/>
      <c r="BE274" s="5"/>
      <c r="BF274" s="5"/>
    </row>
    <row r="275" spans="2:58" s="141" customFormat="1" x14ac:dyDescent="0.25">
      <c r="B275" s="128"/>
      <c r="C275" s="109"/>
      <c r="D275" s="109"/>
      <c r="E275" s="129"/>
      <c r="F275" s="42"/>
      <c r="G275" s="5"/>
      <c r="H275" s="158"/>
      <c r="I275" s="171"/>
      <c r="J275" s="172"/>
      <c r="K275" s="161"/>
      <c r="L275" s="162"/>
      <c r="M275" s="162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32"/>
      <c r="AX275" s="32"/>
      <c r="AY275" s="32"/>
      <c r="AZ275" s="5"/>
      <c r="BA275" s="5"/>
      <c r="BB275" s="5"/>
      <c r="BC275" s="5"/>
      <c r="BD275" s="5"/>
      <c r="BE275" s="5"/>
      <c r="BF275" s="5"/>
    </row>
    <row r="276" spans="2:58" s="141" customFormat="1" x14ac:dyDescent="0.25">
      <c r="B276" s="128"/>
      <c r="C276" s="109"/>
      <c r="D276" s="109"/>
      <c r="E276" s="129"/>
      <c r="F276" s="42"/>
      <c r="G276" s="5"/>
      <c r="H276" s="158"/>
      <c r="I276" s="171"/>
      <c r="J276" s="172"/>
      <c r="K276" s="161"/>
      <c r="L276" s="162"/>
      <c r="M276" s="162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32"/>
      <c r="AX276" s="32"/>
      <c r="AY276" s="32"/>
      <c r="AZ276" s="5"/>
      <c r="BA276" s="5"/>
      <c r="BB276" s="5"/>
      <c r="BC276" s="5"/>
      <c r="BD276" s="5"/>
      <c r="BE276" s="5"/>
      <c r="BF276" s="5"/>
    </row>
    <row r="277" spans="2:58" s="141" customFormat="1" x14ac:dyDescent="0.25">
      <c r="B277" s="128"/>
      <c r="C277" s="109"/>
      <c r="D277" s="109"/>
      <c r="E277" s="129"/>
      <c r="F277" s="42"/>
      <c r="G277" s="5"/>
      <c r="H277" s="158"/>
      <c r="I277" s="171"/>
      <c r="J277" s="172"/>
      <c r="K277" s="161"/>
      <c r="L277" s="162"/>
      <c r="M277" s="162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32"/>
      <c r="AX277" s="32"/>
      <c r="AY277" s="32"/>
      <c r="AZ277" s="5"/>
      <c r="BA277" s="5"/>
      <c r="BB277" s="5"/>
      <c r="BC277" s="5"/>
      <c r="BD277" s="5"/>
      <c r="BE277" s="5"/>
      <c r="BF277" s="5"/>
    </row>
    <row r="278" spans="2:58" s="141" customFormat="1" x14ac:dyDescent="0.25">
      <c r="B278" s="128"/>
      <c r="C278" s="109"/>
      <c r="D278" s="109"/>
      <c r="E278" s="129"/>
      <c r="F278" s="42"/>
      <c r="G278" s="5"/>
      <c r="H278" s="158"/>
      <c r="I278" s="171"/>
      <c r="J278" s="172"/>
      <c r="K278" s="161"/>
      <c r="L278" s="162"/>
      <c r="M278" s="162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32"/>
      <c r="AX278" s="32"/>
      <c r="AY278" s="32"/>
      <c r="AZ278" s="5"/>
      <c r="BA278" s="5"/>
      <c r="BB278" s="5"/>
      <c r="BC278" s="5"/>
      <c r="BD278" s="5"/>
      <c r="BE278" s="5"/>
      <c r="BF278" s="5"/>
    </row>
    <row r="279" spans="2:58" s="141" customFormat="1" x14ac:dyDescent="0.25">
      <c r="B279" s="128"/>
      <c r="C279" s="109"/>
      <c r="D279" s="109"/>
      <c r="E279" s="129"/>
      <c r="F279" s="42"/>
      <c r="G279" s="5"/>
      <c r="H279" s="158"/>
      <c r="I279" s="171"/>
      <c r="J279" s="172"/>
      <c r="K279" s="161"/>
      <c r="L279" s="162"/>
      <c r="M279" s="162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32"/>
      <c r="AX279" s="32"/>
      <c r="AY279" s="32"/>
      <c r="AZ279" s="5"/>
      <c r="BA279" s="5"/>
      <c r="BB279" s="5"/>
      <c r="BC279" s="5"/>
      <c r="BD279" s="5"/>
      <c r="BE279" s="5"/>
      <c r="BF279" s="5"/>
    </row>
    <row r="280" spans="2:58" s="141" customFormat="1" x14ac:dyDescent="0.25">
      <c r="B280" s="128"/>
      <c r="C280" s="109"/>
      <c r="D280" s="109"/>
      <c r="E280" s="129"/>
      <c r="F280" s="42"/>
      <c r="G280" s="5"/>
      <c r="H280" s="158"/>
      <c r="I280" s="171"/>
      <c r="J280" s="172"/>
      <c r="K280" s="161"/>
      <c r="L280" s="162"/>
      <c r="M280" s="162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32"/>
      <c r="AX280" s="32"/>
      <c r="AY280" s="32"/>
      <c r="AZ280" s="5"/>
      <c r="BA280" s="5"/>
      <c r="BB280" s="5"/>
      <c r="BC280" s="5"/>
      <c r="BD280" s="5"/>
      <c r="BE280" s="5"/>
      <c r="BF280" s="5"/>
    </row>
    <row r="281" spans="2:58" s="141" customFormat="1" x14ac:dyDescent="0.25">
      <c r="B281" s="128"/>
      <c r="C281" s="109"/>
      <c r="D281" s="109"/>
      <c r="E281" s="129"/>
      <c r="F281" s="42"/>
      <c r="G281" s="5"/>
      <c r="H281" s="158"/>
      <c r="I281" s="171"/>
      <c r="J281" s="172"/>
      <c r="K281" s="161"/>
      <c r="L281" s="162"/>
      <c r="M281" s="162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32"/>
      <c r="AX281" s="32"/>
      <c r="AY281" s="32"/>
      <c r="AZ281" s="5"/>
      <c r="BA281" s="5"/>
      <c r="BB281" s="5"/>
      <c r="BC281" s="5"/>
      <c r="BD281" s="5"/>
      <c r="BE281" s="5"/>
      <c r="BF281" s="5"/>
    </row>
    <row r="282" spans="2:58" s="141" customFormat="1" x14ac:dyDescent="0.25">
      <c r="B282" s="128"/>
      <c r="C282" s="109"/>
      <c r="D282" s="109"/>
      <c r="E282" s="129"/>
      <c r="F282" s="42"/>
      <c r="G282" s="5"/>
      <c r="H282" s="158"/>
      <c r="I282" s="171"/>
      <c r="J282" s="172"/>
      <c r="K282" s="161"/>
      <c r="L282" s="162"/>
      <c r="M282" s="162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32"/>
      <c r="AX282" s="32"/>
      <c r="AY282" s="32"/>
      <c r="AZ282" s="5"/>
      <c r="BA282" s="5"/>
      <c r="BB282" s="5"/>
      <c r="BC282" s="5"/>
      <c r="BD282" s="5"/>
      <c r="BE282" s="5"/>
      <c r="BF282" s="5"/>
    </row>
    <row r="283" spans="2:58" s="141" customFormat="1" x14ac:dyDescent="0.25">
      <c r="B283" s="128"/>
      <c r="C283" s="109"/>
      <c r="D283" s="109"/>
      <c r="E283" s="129"/>
      <c r="F283" s="42"/>
      <c r="G283" s="5"/>
      <c r="H283" s="158"/>
      <c r="I283" s="171"/>
      <c r="J283" s="172"/>
      <c r="K283" s="161"/>
      <c r="L283" s="162"/>
      <c r="M283" s="162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32"/>
      <c r="AX283" s="32"/>
      <c r="AY283" s="32"/>
      <c r="AZ283" s="5"/>
      <c r="BA283" s="5"/>
      <c r="BB283" s="5"/>
      <c r="BC283" s="5"/>
      <c r="BD283" s="5"/>
      <c r="BE283" s="5"/>
      <c r="BF283" s="5"/>
    </row>
    <row r="284" spans="2:58" s="141" customFormat="1" x14ac:dyDescent="0.25">
      <c r="B284" s="128"/>
      <c r="C284" s="109"/>
      <c r="D284" s="109"/>
      <c r="E284" s="129"/>
      <c r="F284" s="42"/>
      <c r="G284" s="5"/>
      <c r="H284" s="158"/>
      <c r="I284" s="171"/>
      <c r="J284" s="172"/>
      <c r="K284" s="161"/>
      <c r="L284" s="162"/>
      <c r="M284" s="162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32"/>
      <c r="AX284" s="32"/>
      <c r="AY284" s="32"/>
      <c r="AZ284" s="5"/>
      <c r="BA284" s="5"/>
      <c r="BB284" s="5"/>
      <c r="BC284" s="5"/>
      <c r="BD284" s="5"/>
      <c r="BE284" s="5"/>
      <c r="BF284" s="5"/>
    </row>
    <row r="285" spans="2:58" s="141" customFormat="1" x14ac:dyDescent="0.25">
      <c r="B285" s="128"/>
      <c r="C285" s="109"/>
      <c r="D285" s="109"/>
      <c r="E285" s="129"/>
      <c r="F285" s="42"/>
      <c r="G285" s="5"/>
      <c r="H285" s="158"/>
      <c r="I285" s="171"/>
      <c r="J285" s="172"/>
      <c r="K285" s="161"/>
      <c r="L285" s="162"/>
      <c r="M285" s="162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32"/>
      <c r="AX285" s="32"/>
      <c r="AY285" s="32"/>
      <c r="AZ285" s="5"/>
      <c r="BA285" s="5"/>
      <c r="BB285" s="5"/>
      <c r="BC285" s="5"/>
      <c r="BD285" s="5"/>
      <c r="BE285" s="5"/>
      <c r="BF285" s="5"/>
    </row>
    <row r="286" spans="2:58" s="141" customFormat="1" x14ac:dyDescent="0.25">
      <c r="B286" s="128"/>
      <c r="C286" s="109"/>
      <c r="D286" s="109"/>
      <c r="E286" s="129"/>
      <c r="F286" s="42"/>
      <c r="G286" s="5"/>
      <c r="H286" s="158"/>
      <c r="I286" s="171"/>
      <c r="J286" s="172"/>
      <c r="K286" s="161"/>
      <c r="L286" s="162"/>
      <c r="M286" s="162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32"/>
      <c r="AX286" s="32"/>
      <c r="AY286" s="32"/>
      <c r="AZ286" s="5"/>
      <c r="BA286" s="5"/>
      <c r="BB286" s="5"/>
      <c r="BC286" s="5"/>
      <c r="BD286" s="5"/>
      <c r="BE286" s="5"/>
      <c r="BF286" s="5"/>
    </row>
    <row r="287" spans="2:58" s="141" customFormat="1" x14ac:dyDescent="0.25">
      <c r="B287" s="128"/>
      <c r="C287" s="109"/>
      <c r="D287" s="109"/>
      <c r="E287" s="129"/>
      <c r="F287" s="42"/>
      <c r="G287" s="5"/>
      <c r="H287" s="158"/>
      <c r="I287" s="171"/>
      <c r="J287" s="172"/>
      <c r="K287" s="161"/>
      <c r="L287" s="162"/>
      <c r="M287" s="162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32"/>
      <c r="AX287" s="32"/>
      <c r="AY287" s="32"/>
      <c r="AZ287" s="5"/>
      <c r="BA287" s="5"/>
      <c r="BB287" s="5"/>
      <c r="BC287" s="5"/>
      <c r="BD287" s="5"/>
      <c r="BE287" s="5"/>
      <c r="BF287" s="5"/>
    </row>
    <row r="288" spans="2:58" s="141" customFormat="1" x14ac:dyDescent="0.25">
      <c r="B288" s="128"/>
      <c r="C288" s="109"/>
      <c r="D288" s="109"/>
      <c r="E288" s="129"/>
      <c r="F288" s="42"/>
      <c r="G288" s="5"/>
      <c r="H288" s="158"/>
      <c r="I288" s="171"/>
      <c r="J288" s="172"/>
      <c r="K288" s="161"/>
      <c r="L288" s="162"/>
      <c r="M288" s="162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32"/>
      <c r="AX288" s="32"/>
      <c r="AY288" s="32"/>
      <c r="AZ288" s="5"/>
      <c r="BA288" s="5"/>
      <c r="BB288" s="5"/>
      <c r="BC288" s="5"/>
      <c r="BD288" s="5"/>
      <c r="BE288" s="5"/>
      <c r="BF288" s="5"/>
    </row>
    <row r="289" spans="2:58" s="141" customFormat="1" x14ac:dyDescent="0.25">
      <c r="B289" s="128"/>
      <c r="C289" s="109"/>
      <c r="D289" s="109"/>
      <c r="E289" s="129"/>
      <c r="F289" s="42"/>
      <c r="G289" s="5"/>
      <c r="H289" s="158"/>
      <c r="I289" s="171"/>
      <c r="J289" s="172"/>
      <c r="K289" s="161"/>
      <c r="L289" s="162"/>
      <c r="M289" s="162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32"/>
      <c r="AX289" s="32"/>
      <c r="AY289" s="32"/>
      <c r="AZ289" s="5"/>
      <c r="BA289" s="5"/>
      <c r="BB289" s="5"/>
      <c r="BC289" s="5"/>
      <c r="BD289" s="5"/>
      <c r="BE289" s="5"/>
      <c r="BF289" s="5"/>
    </row>
    <row r="290" spans="2:58" s="141" customFormat="1" x14ac:dyDescent="0.25">
      <c r="B290" s="128"/>
      <c r="C290" s="109"/>
      <c r="D290" s="109"/>
      <c r="E290" s="129"/>
      <c r="F290" s="42"/>
      <c r="G290" s="5"/>
      <c r="H290" s="158"/>
      <c r="I290" s="171"/>
      <c r="J290" s="172"/>
      <c r="K290" s="161"/>
      <c r="L290" s="162"/>
      <c r="M290" s="162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32"/>
      <c r="AX290" s="32"/>
      <c r="AY290" s="32"/>
      <c r="AZ290" s="5"/>
      <c r="BA290" s="5"/>
      <c r="BB290" s="5"/>
      <c r="BC290" s="5"/>
      <c r="BD290" s="5"/>
      <c r="BE290" s="5"/>
      <c r="BF290" s="5"/>
    </row>
    <row r="291" spans="2:58" s="141" customFormat="1" x14ac:dyDescent="0.25">
      <c r="B291" s="128"/>
      <c r="C291" s="109"/>
      <c r="D291" s="109"/>
      <c r="E291" s="129"/>
      <c r="F291" s="42"/>
      <c r="G291" s="5"/>
      <c r="H291" s="158"/>
      <c r="I291" s="171"/>
      <c r="J291" s="172"/>
      <c r="K291" s="161"/>
      <c r="L291" s="162"/>
      <c r="M291" s="162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32"/>
      <c r="AX291" s="32"/>
      <c r="AY291" s="32"/>
      <c r="AZ291" s="5"/>
      <c r="BA291" s="5"/>
      <c r="BB291" s="5"/>
      <c r="BC291" s="5"/>
      <c r="BD291" s="5"/>
      <c r="BE291" s="5"/>
      <c r="BF291" s="5"/>
    </row>
    <row r="292" spans="2:58" s="141" customFormat="1" x14ac:dyDescent="0.25">
      <c r="B292" s="128"/>
      <c r="C292" s="109"/>
      <c r="D292" s="109"/>
      <c r="E292" s="129"/>
      <c r="F292" s="42"/>
      <c r="G292" s="5"/>
      <c r="H292" s="158"/>
      <c r="I292" s="171"/>
      <c r="J292" s="172"/>
      <c r="K292" s="161"/>
      <c r="L292" s="162"/>
      <c r="M292" s="162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32"/>
      <c r="AX292" s="32"/>
      <c r="AY292" s="32"/>
      <c r="AZ292" s="5"/>
      <c r="BA292" s="5"/>
      <c r="BB292" s="5"/>
      <c r="BC292" s="5"/>
      <c r="BD292" s="5"/>
      <c r="BE292" s="5"/>
      <c r="BF292" s="5"/>
    </row>
    <row r="293" spans="2:58" s="141" customFormat="1" x14ac:dyDescent="0.25">
      <c r="B293" s="128"/>
      <c r="C293" s="109"/>
      <c r="D293" s="109"/>
      <c r="E293" s="129"/>
      <c r="F293" s="42"/>
      <c r="G293" s="5"/>
      <c r="H293" s="158"/>
      <c r="I293" s="171"/>
      <c r="J293" s="172"/>
      <c r="K293" s="161"/>
      <c r="L293" s="162"/>
      <c r="M293" s="162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32"/>
      <c r="AX293" s="32"/>
      <c r="AY293" s="32"/>
      <c r="AZ293" s="5"/>
      <c r="BA293" s="5"/>
      <c r="BB293" s="5"/>
      <c r="BC293" s="5"/>
      <c r="BD293" s="5"/>
      <c r="BE293" s="5"/>
      <c r="BF293" s="5"/>
    </row>
    <row r="294" spans="2:58" s="141" customFormat="1" x14ac:dyDescent="0.25">
      <c r="B294" s="128"/>
      <c r="C294" s="109"/>
      <c r="D294" s="109"/>
      <c r="E294" s="129"/>
      <c r="F294" s="42"/>
      <c r="G294" s="5"/>
      <c r="H294" s="158"/>
      <c r="I294" s="171"/>
      <c r="J294" s="172"/>
      <c r="K294" s="161"/>
      <c r="L294" s="162"/>
      <c r="M294" s="162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32"/>
      <c r="AX294" s="32"/>
      <c r="AY294" s="32"/>
      <c r="AZ294" s="5"/>
      <c r="BA294" s="5"/>
      <c r="BB294" s="5"/>
      <c r="BC294" s="5"/>
      <c r="BD294" s="5"/>
      <c r="BE294" s="5"/>
      <c r="BF294" s="5"/>
    </row>
    <row r="295" spans="2:58" s="141" customFormat="1" x14ac:dyDescent="0.25">
      <c r="B295" s="128"/>
      <c r="C295" s="109"/>
      <c r="D295" s="109"/>
      <c r="E295" s="129"/>
      <c r="F295" s="42"/>
      <c r="G295" s="5"/>
      <c r="H295" s="158"/>
      <c r="I295" s="171"/>
      <c r="J295" s="172"/>
      <c r="K295" s="161"/>
      <c r="L295" s="162"/>
      <c r="M295" s="162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32"/>
      <c r="AX295" s="32"/>
      <c r="AY295" s="32"/>
      <c r="AZ295" s="5"/>
      <c r="BA295" s="5"/>
      <c r="BB295" s="5"/>
      <c r="BC295" s="5"/>
      <c r="BD295" s="5"/>
      <c r="BE295" s="5"/>
      <c r="BF295" s="5"/>
    </row>
    <row r="296" spans="2:58" s="141" customFormat="1" x14ac:dyDescent="0.25">
      <c r="B296" s="128"/>
      <c r="C296" s="109"/>
      <c r="D296" s="109"/>
      <c r="E296" s="129"/>
      <c r="F296" s="42"/>
      <c r="G296" s="5"/>
      <c r="H296" s="158"/>
      <c r="I296" s="171"/>
      <c r="J296" s="172"/>
      <c r="K296" s="161"/>
      <c r="L296" s="162"/>
      <c r="M296" s="162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32"/>
      <c r="AX296" s="32"/>
      <c r="AY296" s="32"/>
      <c r="AZ296" s="5"/>
      <c r="BA296" s="5"/>
      <c r="BB296" s="5"/>
      <c r="BC296" s="5"/>
      <c r="BD296" s="5"/>
      <c r="BE296" s="5"/>
      <c r="BF296" s="5"/>
    </row>
    <row r="297" spans="2:58" s="141" customFormat="1" x14ac:dyDescent="0.25">
      <c r="B297" s="128"/>
      <c r="C297" s="109"/>
      <c r="D297" s="109"/>
      <c r="E297" s="129"/>
      <c r="F297" s="42"/>
      <c r="G297" s="5"/>
      <c r="H297" s="158"/>
      <c r="I297" s="171"/>
      <c r="J297" s="172"/>
      <c r="K297" s="161"/>
      <c r="L297" s="162"/>
      <c r="M297" s="162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32"/>
      <c r="AX297" s="32"/>
      <c r="AY297" s="32"/>
      <c r="AZ297" s="5"/>
      <c r="BA297" s="5"/>
      <c r="BB297" s="5"/>
      <c r="BC297" s="5"/>
      <c r="BD297" s="5"/>
      <c r="BE297" s="5"/>
      <c r="BF297" s="5"/>
    </row>
    <row r="298" spans="2:58" s="141" customFormat="1" x14ac:dyDescent="0.25">
      <c r="B298" s="128"/>
      <c r="C298" s="109"/>
      <c r="D298" s="109"/>
      <c r="E298" s="129"/>
      <c r="F298" s="42"/>
      <c r="G298" s="5"/>
      <c r="H298" s="158"/>
      <c r="I298" s="171"/>
      <c r="J298" s="172"/>
      <c r="K298" s="161"/>
      <c r="L298" s="162"/>
      <c r="M298" s="162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32"/>
      <c r="AX298" s="32"/>
      <c r="AY298" s="32"/>
      <c r="AZ298" s="5"/>
      <c r="BA298" s="5"/>
      <c r="BB298" s="5"/>
      <c r="BC298" s="5"/>
      <c r="BD298" s="5"/>
      <c r="BE298" s="5"/>
      <c r="BF298" s="5"/>
    </row>
    <row r="299" spans="2:58" s="141" customFormat="1" x14ac:dyDescent="0.25">
      <c r="B299" s="128"/>
      <c r="C299" s="109"/>
      <c r="D299" s="109"/>
      <c r="E299" s="129"/>
      <c r="F299" s="42"/>
      <c r="G299" s="5"/>
      <c r="H299" s="158"/>
      <c r="I299" s="171"/>
      <c r="J299" s="172"/>
      <c r="K299" s="161"/>
      <c r="L299" s="162"/>
      <c r="M299" s="162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32"/>
      <c r="AX299" s="32"/>
      <c r="AY299" s="32"/>
      <c r="AZ299" s="5"/>
      <c r="BA299" s="5"/>
      <c r="BB299" s="5"/>
      <c r="BC299" s="5"/>
      <c r="BD299" s="5"/>
      <c r="BE299" s="5"/>
      <c r="BF299" s="5"/>
    </row>
    <row r="300" spans="2:58" s="141" customFormat="1" x14ac:dyDescent="0.25">
      <c r="B300" s="128"/>
      <c r="C300" s="109"/>
      <c r="D300" s="109"/>
      <c r="E300" s="129"/>
      <c r="F300" s="42"/>
      <c r="G300" s="5"/>
      <c r="H300" s="158"/>
      <c r="I300" s="171"/>
      <c r="J300" s="172"/>
      <c r="K300" s="161"/>
      <c r="L300" s="162"/>
      <c r="M300" s="162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32"/>
      <c r="AX300" s="32"/>
      <c r="AY300" s="32"/>
      <c r="AZ300" s="5"/>
      <c r="BA300" s="5"/>
      <c r="BB300" s="5"/>
      <c r="BC300" s="5"/>
      <c r="BD300" s="5"/>
      <c r="BE300" s="5"/>
      <c r="BF300" s="5"/>
    </row>
    <row r="301" spans="2:58" s="141" customFormat="1" x14ac:dyDescent="0.25">
      <c r="B301" s="128"/>
      <c r="C301" s="109"/>
      <c r="D301" s="109"/>
      <c r="E301" s="129"/>
      <c r="F301" s="42"/>
      <c r="G301" s="5"/>
      <c r="H301" s="158"/>
      <c r="I301" s="171"/>
      <c r="J301" s="172"/>
      <c r="K301" s="161"/>
      <c r="L301" s="162"/>
      <c r="M301" s="162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32"/>
      <c r="AX301" s="32"/>
      <c r="AY301" s="32"/>
      <c r="AZ301" s="5"/>
      <c r="BA301" s="5"/>
      <c r="BB301" s="5"/>
      <c r="BC301" s="5"/>
      <c r="BD301" s="5"/>
      <c r="BE301" s="5"/>
      <c r="BF301" s="5"/>
    </row>
    <row r="302" spans="2:58" s="141" customFormat="1" x14ac:dyDescent="0.25">
      <c r="B302" s="128"/>
      <c r="C302" s="109"/>
      <c r="D302" s="109"/>
      <c r="E302" s="129"/>
      <c r="F302" s="42"/>
      <c r="G302" s="5"/>
      <c r="H302" s="158"/>
      <c r="I302" s="171"/>
      <c r="J302" s="172"/>
      <c r="K302" s="161"/>
      <c r="L302" s="162"/>
      <c r="M302" s="162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32"/>
      <c r="AX302" s="32"/>
      <c r="AY302" s="32"/>
      <c r="AZ302" s="5"/>
      <c r="BA302" s="5"/>
      <c r="BB302" s="5"/>
      <c r="BC302" s="5"/>
      <c r="BD302" s="5"/>
      <c r="BE302" s="5"/>
      <c r="BF302" s="5"/>
    </row>
    <row r="303" spans="2:58" s="141" customFormat="1" x14ac:dyDescent="0.25">
      <c r="B303" s="128"/>
      <c r="C303" s="109"/>
      <c r="D303" s="109"/>
      <c r="E303" s="129"/>
      <c r="F303" s="42"/>
      <c r="G303" s="5"/>
      <c r="H303" s="158"/>
      <c r="I303" s="171"/>
      <c r="J303" s="172"/>
      <c r="K303" s="161"/>
      <c r="L303" s="162"/>
      <c r="M303" s="162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32"/>
      <c r="AX303" s="32"/>
      <c r="AY303" s="32"/>
      <c r="AZ303" s="5"/>
      <c r="BA303" s="5"/>
      <c r="BB303" s="5"/>
      <c r="BC303" s="5"/>
      <c r="BD303" s="5"/>
      <c r="BE303" s="5"/>
      <c r="BF303" s="5"/>
    </row>
    <row r="304" spans="2:58" s="141" customFormat="1" x14ac:dyDescent="0.25">
      <c r="B304" s="128"/>
      <c r="C304" s="109"/>
      <c r="D304" s="109"/>
      <c r="E304" s="129"/>
      <c r="F304" s="42"/>
      <c r="G304" s="5"/>
      <c r="H304" s="158"/>
      <c r="I304" s="171"/>
      <c r="J304" s="172"/>
      <c r="K304" s="161"/>
      <c r="L304" s="162"/>
      <c r="M304" s="162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32"/>
      <c r="AX304" s="32"/>
      <c r="AY304" s="32"/>
      <c r="AZ304" s="5"/>
      <c r="BA304" s="5"/>
      <c r="BB304" s="5"/>
      <c r="BC304" s="5"/>
      <c r="BD304" s="5"/>
      <c r="BE304" s="5"/>
      <c r="BF304" s="5"/>
    </row>
    <row r="305" spans="2:58" s="141" customFormat="1" x14ac:dyDescent="0.25">
      <c r="B305" s="128"/>
      <c r="C305" s="109"/>
      <c r="D305" s="109"/>
      <c r="E305" s="129"/>
      <c r="F305" s="42"/>
      <c r="G305" s="5"/>
      <c r="H305" s="158"/>
      <c r="I305" s="171"/>
      <c r="J305" s="172"/>
      <c r="K305" s="161"/>
      <c r="L305" s="162"/>
      <c r="M305" s="162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32"/>
      <c r="AX305" s="32"/>
      <c r="AY305" s="32"/>
      <c r="AZ305" s="5"/>
      <c r="BA305" s="5"/>
      <c r="BB305" s="5"/>
      <c r="BC305" s="5"/>
      <c r="BD305" s="5"/>
      <c r="BE305" s="5"/>
      <c r="BF305" s="5"/>
    </row>
    <row r="306" spans="2:58" s="141" customFormat="1" x14ac:dyDescent="0.25">
      <c r="B306" s="128"/>
      <c r="C306" s="109"/>
      <c r="D306" s="109"/>
      <c r="E306" s="129"/>
      <c r="F306" s="42"/>
      <c r="G306" s="5"/>
      <c r="H306" s="158"/>
      <c r="I306" s="171"/>
      <c r="J306" s="172"/>
      <c r="K306" s="161"/>
      <c r="L306" s="162"/>
      <c r="M306" s="162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32"/>
      <c r="AX306" s="32"/>
      <c r="AY306" s="32"/>
      <c r="AZ306" s="5"/>
      <c r="BA306" s="5"/>
      <c r="BB306" s="5"/>
      <c r="BC306" s="5"/>
      <c r="BD306" s="5"/>
      <c r="BE306" s="5"/>
      <c r="BF306" s="5"/>
    </row>
    <row r="307" spans="2:58" s="141" customFormat="1" x14ac:dyDescent="0.25">
      <c r="B307" s="128"/>
      <c r="C307" s="109"/>
      <c r="D307" s="109"/>
      <c r="E307" s="129"/>
      <c r="F307" s="42"/>
      <c r="G307" s="5"/>
      <c r="H307" s="158"/>
      <c r="I307" s="171"/>
      <c r="J307" s="172"/>
      <c r="K307" s="161"/>
      <c r="L307" s="162"/>
      <c r="M307" s="162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32"/>
      <c r="AX307" s="32"/>
      <c r="AY307" s="32"/>
      <c r="AZ307" s="5"/>
      <c r="BA307" s="5"/>
      <c r="BB307" s="5"/>
      <c r="BC307" s="5"/>
      <c r="BD307" s="5"/>
      <c r="BE307" s="5"/>
      <c r="BF307" s="5"/>
    </row>
    <row r="308" spans="2:58" s="141" customFormat="1" x14ac:dyDescent="0.25">
      <c r="B308" s="128"/>
      <c r="C308" s="109"/>
      <c r="D308" s="109"/>
      <c r="E308" s="129"/>
      <c r="F308" s="42"/>
      <c r="G308" s="5"/>
      <c r="H308" s="158"/>
      <c r="I308" s="171"/>
      <c r="J308" s="172"/>
      <c r="K308" s="161"/>
      <c r="L308" s="162"/>
      <c r="M308" s="162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32"/>
      <c r="AX308" s="32"/>
      <c r="AY308" s="32"/>
      <c r="AZ308" s="5"/>
      <c r="BA308" s="5"/>
      <c r="BB308" s="5"/>
      <c r="BC308" s="5"/>
      <c r="BD308" s="5"/>
      <c r="BE308" s="5"/>
      <c r="BF308" s="5"/>
    </row>
    <row r="309" spans="2:58" s="141" customFormat="1" x14ac:dyDescent="0.25">
      <c r="B309" s="128"/>
      <c r="C309" s="109"/>
      <c r="D309" s="109"/>
      <c r="E309" s="129"/>
      <c r="F309" s="42"/>
      <c r="G309" s="5"/>
      <c r="H309" s="158"/>
      <c r="I309" s="171"/>
      <c r="J309" s="172"/>
      <c r="K309" s="161"/>
      <c r="L309" s="162"/>
      <c r="M309" s="162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32"/>
      <c r="AX309" s="32"/>
      <c r="AY309" s="32"/>
      <c r="AZ309" s="5"/>
      <c r="BA309" s="5"/>
      <c r="BB309" s="5"/>
      <c r="BC309" s="5"/>
      <c r="BD309" s="5"/>
      <c r="BE309" s="5"/>
      <c r="BF309" s="5"/>
    </row>
    <row r="310" spans="2:58" s="141" customFormat="1" x14ac:dyDescent="0.25">
      <c r="B310" s="128"/>
      <c r="C310" s="109"/>
      <c r="D310" s="109"/>
      <c r="E310" s="129"/>
      <c r="F310" s="42"/>
      <c r="G310" s="5"/>
      <c r="H310" s="158"/>
      <c r="I310" s="171"/>
      <c r="J310" s="172"/>
      <c r="K310" s="161"/>
      <c r="L310" s="162"/>
      <c r="M310" s="162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32"/>
      <c r="AX310" s="32"/>
      <c r="AY310" s="32"/>
      <c r="AZ310" s="5"/>
      <c r="BA310" s="5"/>
      <c r="BB310" s="5"/>
      <c r="BC310" s="5"/>
      <c r="BD310" s="5"/>
      <c r="BE310" s="5"/>
      <c r="BF310" s="5"/>
    </row>
    <row r="311" spans="2:58" s="141" customFormat="1" x14ac:dyDescent="0.25">
      <c r="B311" s="128"/>
      <c r="C311" s="109"/>
      <c r="D311" s="109"/>
      <c r="E311" s="129"/>
      <c r="F311" s="42"/>
      <c r="G311" s="5"/>
      <c r="H311" s="158"/>
      <c r="I311" s="171"/>
      <c r="J311" s="172"/>
      <c r="K311" s="161"/>
      <c r="L311" s="162"/>
      <c r="M311" s="162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32"/>
      <c r="AX311" s="32"/>
      <c r="AY311" s="32"/>
      <c r="AZ311" s="5"/>
      <c r="BA311" s="5"/>
      <c r="BB311" s="5"/>
      <c r="BC311" s="5"/>
      <c r="BD311" s="5"/>
      <c r="BE311" s="5"/>
      <c r="BF311" s="5"/>
    </row>
    <row r="312" spans="2:58" s="141" customFormat="1" x14ac:dyDescent="0.25">
      <c r="B312" s="128"/>
      <c r="C312" s="109"/>
      <c r="D312" s="109"/>
      <c r="E312" s="129"/>
      <c r="F312" s="42"/>
      <c r="G312" s="5"/>
      <c r="H312" s="158"/>
      <c r="I312" s="171"/>
      <c r="J312" s="172"/>
      <c r="K312" s="161"/>
      <c r="L312" s="162"/>
      <c r="M312" s="162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32"/>
      <c r="AX312" s="32"/>
      <c r="AY312" s="32"/>
      <c r="AZ312" s="5"/>
      <c r="BA312" s="5"/>
      <c r="BB312" s="5"/>
      <c r="BC312" s="5"/>
      <c r="BD312" s="5"/>
      <c r="BE312" s="5"/>
      <c r="BF312" s="5"/>
    </row>
    <row r="313" spans="2:58" s="141" customFormat="1" x14ac:dyDescent="0.25">
      <c r="B313" s="128"/>
      <c r="C313" s="109"/>
      <c r="D313" s="109"/>
      <c r="E313" s="129"/>
      <c r="F313" s="42"/>
      <c r="G313" s="5"/>
      <c r="H313" s="158"/>
      <c r="I313" s="171"/>
      <c r="J313" s="172"/>
      <c r="K313" s="161"/>
      <c r="L313" s="162"/>
      <c r="M313" s="162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32"/>
      <c r="AX313" s="32"/>
      <c r="AY313" s="32"/>
      <c r="AZ313" s="5"/>
      <c r="BA313" s="5"/>
      <c r="BB313" s="5"/>
      <c r="BC313" s="5"/>
      <c r="BD313" s="5"/>
      <c r="BE313" s="5"/>
      <c r="BF313" s="5"/>
    </row>
    <row r="314" spans="2:58" s="141" customFormat="1" x14ac:dyDescent="0.25">
      <c r="B314" s="128"/>
      <c r="C314" s="109"/>
      <c r="D314" s="109"/>
      <c r="E314" s="129"/>
      <c r="F314" s="42"/>
      <c r="G314" s="5"/>
      <c r="H314" s="158"/>
      <c r="I314" s="171"/>
      <c r="J314" s="172"/>
      <c r="K314" s="161"/>
      <c r="L314" s="162"/>
      <c r="M314" s="162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32"/>
      <c r="AX314" s="32"/>
      <c r="AY314" s="32"/>
      <c r="AZ314" s="5"/>
      <c r="BA314" s="5"/>
      <c r="BB314" s="5"/>
      <c r="BC314" s="5"/>
      <c r="BD314" s="5"/>
      <c r="BE314" s="5"/>
      <c r="BF314" s="5"/>
    </row>
    <row r="315" spans="2:58" s="141" customFormat="1" x14ac:dyDescent="0.25">
      <c r="B315" s="128"/>
      <c r="C315" s="109"/>
      <c r="D315" s="109"/>
      <c r="E315" s="129"/>
      <c r="F315" s="42"/>
      <c r="G315" s="5"/>
      <c r="H315" s="158"/>
      <c r="I315" s="171"/>
      <c r="J315" s="172"/>
      <c r="K315" s="161"/>
      <c r="L315" s="162"/>
      <c r="M315" s="162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32"/>
      <c r="AX315" s="32"/>
      <c r="AY315" s="32"/>
      <c r="AZ315" s="5"/>
      <c r="BA315" s="5"/>
      <c r="BB315" s="5"/>
      <c r="BC315" s="5"/>
      <c r="BD315" s="5"/>
      <c r="BE315" s="5"/>
      <c r="BF315" s="5"/>
    </row>
    <row r="316" spans="2:58" s="141" customFormat="1" x14ac:dyDescent="0.25">
      <c r="B316" s="128"/>
      <c r="C316" s="109"/>
      <c r="D316" s="109"/>
      <c r="E316" s="129"/>
      <c r="F316" s="42"/>
      <c r="G316" s="5"/>
      <c r="H316" s="158"/>
      <c r="I316" s="171"/>
      <c r="J316" s="172"/>
      <c r="K316" s="161"/>
      <c r="L316" s="162"/>
      <c r="M316" s="162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32"/>
      <c r="AX316" s="32"/>
      <c r="AY316" s="32"/>
      <c r="AZ316" s="5"/>
      <c r="BA316" s="5"/>
      <c r="BB316" s="5"/>
      <c r="BC316" s="5"/>
      <c r="BD316" s="5"/>
      <c r="BE316" s="5"/>
      <c r="BF316" s="5"/>
    </row>
    <row r="317" spans="2:58" s="141" customFormat="1" x14ac:dyDescent="0.25">
      <c r="B317" s="128"/>
      <c r="C317" s="109"/>
      <c r="D317" s="109"/>
      <c r="E317" s="129"/>
      <c r="F317" s="42"/>
      <c r="G317" s="5"/>
      <c r="H317" s="158"/>
      <c r="I317" s="171"/>
      <c r="J317" s="172"/>
      <c r="K317" s="161"/>
      <c r="L317" s="162"/>
      <c r="M317" s="162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32"/>
      <c r="AX317" s="32"/>
      <c r="AY317" s="32"/>
      <c r="AZ317" s="5"/>
      <c r="BA317" s="5"/>
      <c r="BB317" s="5"/>
      <c r="BC317" s="5"/>
      <c r="BD317" s="5"/>
      <c r="BE317" s="5"/>
      <c r="BF317" s="5"/>
    </row>
    <row r="318" spans="2:58" s="141" customFormat="1" x14ac:dyDescent="0.25">
      <c r="B318" s="128"/>
      <c r="C318" s="109"/>
      <c r="D318" s="109"/>
      <c r="E318" s="129"/>
      <c r="F318" s="42"/>
      <c r="G318" s="5"/>
      <c r="H318" s="158"/>
      <c r="I318" s="171"/>
      <c r="J318" s="172"/>
      <c r="K318" s="161"/>
      <c r="L318" s="162"/>
      <c r="M318" s="162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32"/>
      <c r="AX318" s="32"/>
      <c r="AY318" s="32"/>
      <c r="AZ318" s="5"/>
      <c r="BA318" s="5"/>
      <c r="BB318" s="5"/>
      <c r="BC318" s="5"/>
      <c r="BD318" s="5"/>
      <c r="BE318" s="5"/>
      <c r="BF318" s="5"/>
    </row>
    <row r="319" spans="2:58" s="141" customFormat="1" x14ac:dyDescent="0.25">
      <c r="B319" s="128"/>
      <c r="C319" s="109"/>
      <c r="D319" s="109"/>
      <c r="E319" s="129"/>
      <c r="F319" s="42"/>
      <c r="G319" s="5"/>
      <c r="H319" s="158"/>
      <c r="I319" s="171"/>
      <c r="J319" s="172"/>
      <c r="K319" s="161"/>
      <c r="L319" s="162"/>
      <c r="M319" s="162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32"/>
      <c r="AX319" s="32"/>
      <c r="AY319" s="32"/>
      <c r="AZ319" s="5"/>
      <c r="BA319" s="5"/>
      <c r="BB319" s="5"/>
      <c r="BC319" s="5"/>
      <c r="BD319" s="5"/>
      <c r="BE319" s="5"/>
      <c r="BF319" s="5"/>
    </row>
    <row r="320" spans="2:58" s="141" customFormat="1" x14ac:dyDescent="0.25">
      <c r="B320" s="128"/>
      <c r="C320" s="109"/>
      <c r="D320" s="109"/>
      <c r="E320" s="129"/>
      <c r="F320" s="42"/>
      <c r="G320" s="5"/>
      <c r="H320" s="158"/>
      <c r="I320" s="171"/>
      <c r="J320" s="172"/>
      <c r="K320" s="161"/>
      <c r="L320" s="162"/>
      <c r="M320" s="162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32"/>
      <c r="AX320" s="32"/>
      <c r="AY320" s="32"/>
      <c r="AZ320" s="5"/>
      <c r="BA320" s="5"/>
      <c r="BB320" s="5"/>
      <c r="BC320" s="5"/>
      <c r="BD320" s="5"/>
      <c r="BE320" s="5"/>
      <c r="BF320" s="5"/>
    </row>
    <row r="321" spans="2:58" s="141" customFormat="1" x14ac:dyDescent="0.25">
      <c r="B321" s="128"/>
      <c r="C321" s="109"/>
      <c r="D321" s="109"/>
      <c r="E321" s="129"/>
      <c r="F321" s="42"/>
      <c r="G321" s="5"/>
      <c r="H321" s="158"/>
      <c r="I321" s="171"/>
      <c r="J321" s="172"/>
      <c r="K321" s="161"/>
      <c r="L321" s="162"/>
      <c r="M321" s="162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32"/>
      <c r="AX321" s="32"/>
      <c r="AY321" s="32"/>
      <c r="AZ321" s="5"/>
      <c r="BA321" s="5"/>
      <c r="BB321" s="5"/>
      <c r="BC321" s="5"/>
      <c r="BD321" s="5"/>
      <c r="BE321" s="5"/>
      <c r="BF321" s="5"/>
    </row>
    <row r="322" spans="2:58" s="141" customFormat="1" x14ac:dyDescent="0.25">
      <c r="B322" s="128"/>
      <c r="C322" s="109"/>
      <c r="D322" s="109"/>
      <c r="E322" s="129"/>
      <c r="F322" s="42"/>
      <c r="G322" s="5"/>
      <c r="H322" s="158"/>
      <c r="I322" s="171"/>
      <c r="J322" s="172"/>
      <c r="K322" s="161"/>
      <c r="L322" s="162"/>
      <c r="M322" s="162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32"/>
      <c r="AX322" s="32"/>
      <c r="AY322" s="32"/>
      <c r="AZ322" s="5"/>
      <c r="BA322" s="5"/>
      <c r="BB322" s="5"/>
      <c r="BC322" s="5"/>
      <c r="BD322" s="5"/>
      <c r="BE322" s="5"/>
      <c r="BF322" s="5"/>
    </row>
    <row r="323" spans="2:58" s="141" customFormat="1" x14ac:dyDescent="0.25">
      <c r="B323" s="128"/>
      <c r="C323" s="109"/>
      <c r="D323" s="109"/>
      <c r="E323" s="129"/>
      <c r="F323" s="42"/>
      <c r="G323" s="5"/>
      <c r="H323" s="158"/>
      <c r="I323" s="171"/>
      <c r="J323" s="172"/>
      <c r="K323" s="161"/>
      <c r="L323" s="162"/>
      <c r="M323" s="162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32"/>
      <c r="AX323" s="32"/>
      <c r="AY323" s="32"/>
      <c r="AZ323" s="5"/>
      <c r="BA323" s="5"/>
      <c r="BB323" s="5"/>
      <c r="BC323" s="5"/>
      <c r="BD323" s="5"/>
      <c r="BE323" s="5"/>
      <c r="BF323" s="5"/>
    </row>
    <row r="324" spans="2:58" s="141" customFormat="1" x14ac:dyDescent="0.25">
      <c r="B324" s="128"/>
      <c r="C324" s="109"/>
      <c r="D324" s="109"/>
      <c r="E324" s="129"/>
      <c r="F324" s="42"/>
      <c r="G324" s="5"/>
      <c r="H324" s="158"/>
      <c r="I324" s="171"/>
      <c r="J324" s="172"/>
      <c r="K324" s="161"/>
      <c r="L324" s="162"/>
      <c r="M324" s="162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32"/>
      <c r="AX324" s="32"/>
      <c r="AY324" s="32"/>
      <c r="AZ324" s="5"/>
      <c r="BA324" s="5"/>
      <c r="BB324" s="5"/>
      <c r="BC324" s="5"/>
      <c r="BD324" s="5"/>
      <c r="BE324" s="5"/>
      <c r="BF324" s="5"/>
    </row>
    <row r="325" spans="2:58" s="141" customFormat="1" x14ac:dyDescent="0.25">
      <c r="B325" s="128"/>
      <c r="C325" s="109"/>
      <c r="D325" s="109"/>
      <c r="E325" s="129"/>
      <c r="F325" s="42"/>
      <c r="G325" s="5"/>
      <c r="H325" s="158"/>
      <c r="I325" s="171"/>
      <c r="J325" s="172"/>
      <c r="K325" s="161"/>
      <c r="L325" s="162"/>
      <c r="M325" s="162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32"/>
      <c r="AX325" s="32"/>
      <c r="AY325" s="32"/>
      <c r="AZ325" s="5"/>
      <c r="BA325" s="5"/>
      <c r="BB325" s="5"/>
      <c r="BC325" s="5"/>
      <c r="BD325" s="5"/>
      <c r="BE325" s="5"/>
      <c r="BF325" s="5"/>
    </row>
    <row r="326" spans="2:58" s="141" customFormat="1" x14ac:dyDescent="0.25">
      <c r="B326" s="128"/>
      <c r="C326" s="109"/>
      <c r="D326" s="109"/>
      <c r="E326" s="129"/>
      <c r="F326" s="42"/>
      <c r="G326" s="5"/>
      <c r="H326" s="158"/>
      <c r="I326" s="171"/>
      <c r="J326" s="172"/>
      <c r="K326" s="161"/>
      <c r="L326" s="162"/>
      <c r="M326" s="162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32"/>
      <c r="AX326" s="32"/>
      <c r="AY326" s="32"/>
      <c r="AZ326" s="5"/>
      <c r="BA326" s="5"/>
      <c r="BB326" s="5"/>
      <c r="BC326" s="5"/>
      <c r="BD326" s="5"/>
      <c r="BE326" s="5"/>
      <c r="BF326" s="5"/>
    </row>
    <row r="327" spans="2:58" s="141" customFormat="1" x14ac:dyDescent="0.25">
      <c r="B327" s="128"/>
      <c r="C327" s="109"/>
      <c r="D327" s="109"/>
      <c r="E327" s="129"/>
      <c r="F327" s="42"/>
      <c r="G327" s="5"/>
      <c r="H327" s="158"/>
      <c r="I327" s="171"/>
      <c r="J327" s="172"/>
      <c r="K327" s="161"/>
      <c r="L327" s="162"/>
      <c r="M327" s="162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32"/>
      <c r="AX327" s="32"/>
      <c r="AY327" s="32"/>
      <c r="AZ327" s="5"/>
      <c r="BA327" s="5"/>
      <c r="BB327" s="5"/>
      <c r="BC327" s="5"/>
      <c r="BD327" s="5"/>
      <c r="BE327" s="5"/>
      <c r="BF327" s="5"/>
    </row>
    <row r="328" spans="2:58" s="141" customFormat="1" x14ac:dyDescent="0.25">
      <c r="B328" s="128"/>
      <c r="C328" s="109"/>
      <c r="D328" s="109"/>
      <c r="E328" s="129"/>
      <c r="F328" s="42"/>
      <c r="G328" s="5"/>
      <c r="H328" s="158"/>
      <c r="I328" s="171"/>
      <c r="J328" s="172"/>
      <c r="K328" s="161"/>
      <c r="L328" s="162"/>
      <c r="M328" s="162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32"/>
      <c r="AX328" s="32"/>
      <c r="AY328" s="32"/>
      <c r="AZ328" s="5"/>
      <c r="BA328" s="5"/>
      <c r="BB328" s="5"/>
      <c r="BC328" s="5"/>
      <c r="BD328" s="5"/>
      <c r="BE328" s="5"/>
      <c r="BF328" s="5"/>
    </row>
    <row r="329" spans="2:58" s="141" customFormat="1" x14ac:dyDescent="0.25">
      <c r="B329" s="128"/>
      <c r="C329" s="109"/>
      <c r="D329" s="109"/>
      <c r="E329" s="129"/>
      <c r="F329" s="42"/>
      <c r="G329" s="5"/>
      <c r="H329" s="158"/>
      <c r="I329" s="171"/>
      <c r="J329" s="172"/>
      <c r="K329" s="161"/>
      <c r="L329" s="162"/>
      <c r="M329" s="162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32"/>
      <c r="AX329" s="32"/>
      <c r="AY329" s="32"/>
      <c r="AZ329" s="5"/>
      <c r="BA329" s="5"/>
      <c r="BB329" s="5"/>
      <c r="BC329" s="5"/>
      <c r="BD329" s="5"/>
      <c r="BE329" s="5"/>
      <c r="BF329" s="5"/>
    </row>
    <row r="330" spans="2:58" s="141" customFormat="1" x14ac:dyDescent="0.25">
      <c r="B330" s="128"/>
      <c r="C330" s="109"/>
      <c r="D330" s="109"/>
      <c r="E330" s="129"/>
      <c r="F330" s="42"/>
      <c r="G330" s="5"/>
      <c r="H330" s="158"/>
      <c r="I330" s="171"/>
      <c r="J330" s="172"/>
      <c r="K330" s="161"/>
      <c r="L330" s="162"/>
      <c r="M330" s="162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32"/>
      <c r="AX330" s="32"/>
      <c r="AY330" s="32"/>
      <c r="AZ330" s="5"/>
      <c r="BA330" s="5"/>
      <c r="BB330" s="5"/>
      <c r="BC330" s="5"/>
      <c r="BD330" s="5"/>
      <c r="BE330" s="5"/>
      <c r="BF330" s="5"/>
    </row>
    <row r="331" spans="2:58" s="141" customFormat="1" x14ac:dyDescent="0.25">
      <c r="B331" s="128"/>
      <c r="C331" s="109"/>
      <c r="D331" s="109"/>
      <c r="E331" s="129"/>
      <c r="F331" s="42"/>
      <c r="G331" s="5"/>
      <c r="H331" s="158"/>
      <c r="I331" s="171"/>
      <c r="J331" s="172"/>
      <c r="K331" s="161"/>
      <c r="L331" s="162"/>
      <c r="M331" s="162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32"/>
      <c r="AX331" s="32"/>
      <c r="AY331" s="32"/>
      <c r="AZ331" s="5"/>
      <c r="BA331" s="5"/>
      <c r="BB331" s="5"/>
      <c r="BC331" s="5"/>
      <c r="BD331" s="5"/>
      <c r="BE331" s="5"/>
      <c r="BF331" s="5"/>
    </row>
    <row r="332" spans="2:58" s="141" customFormat="1" x14ac:dyDescent="0.25">
      <c r="B332" s="128"/>
      <c r="C332" s="109"/>
      <c r="D332" s="109"/>
      <c r="E332" s="129"/>
      <c r="F332" s="42"/>
      <c r="G332" s="5"/>
      <c r="H332" s="158"/>
      <c r="I332" s="171"/>
      <c r="J332" s="172"/>
      <c r="K332" s="161"/>
      <c r="L332" s="162"/>
      <c r="M332" s="162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32"/>
      <c r="AX332" s="32"/>
      <c r="AY332" s="32"/>
      <c r="AZ332" s="5"/>
      <c r="BA332" s="5"/>
      <c r="BB332" s="5"/>
      <c r="BC332" s="5"/>
      <c r="BD332" s="5"/>
      <c r="BE332" s="5"/>
      <c r="BF332" s="5"/>
    </row>
    <row r="333" spans="2:58" s="141" customFormat="1" x14ac:dyDescent="0.25">
      <c r="B333" s="128"/>
      <c r="C333" s="109"/>
      <c r="D333" s="109"/>
      <c r="E333" s="129"/>
      <c r="F333" s="42"/>
      <c r="G333" s="5"/>
      <c r="H333" s="158"/>
      <c r="I333" s="171"/>
      <c r="J333" s="172"/>
      <c r="K333" s="161"/>
      <c r="L333" s="162"/>
      <c r="M333" s="162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32"/>
      <c r="AX333" s="32"/>
      <c r="AY333" s="32"/>
      <c r="AZ333" s="5"/>
      <c r="BA333" s="5"/>
      <c r="BB333" s="5"/>
      <c r="BC333" s="5"/>
      <c r="BD333" s="5"/>
      <c r="BE333" s="5"/>
      <c r="BF333" s="5"/>
    </row>
    <row r="334" spans="2:58" s="141" customFormat="1" x14ac:dyDescent="0.25">
      <c r="B334" s="128"/>
      <c r="C334" s="109"/>
      <c r="D334" s="109"/>
      <c r="E334" s="129"/>
      <c r="F334" s="42"/>
      <c r="G334" s="5"/>
      <c r="H334" s="158"/>
      <c r="I334" s="171"/>
      <c r="J334" s="172"/>
      <c r="K334" s="161"/>
      <c r="L334" s="162"/>
      <c r="M334" s="162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32"/>
      <c r="AX334" s="32"/>
      <c r="AY334" s="32"/>
      <c r="AZ334" s="5"/>
      <c r="BA334" s="5"/>
      <c r="BB334" s="5"/>
      <c r="BC334" s="5"/>
      <c r="BD334" s="5"/>
      <c r="BE334" s="5"/>
      <c r="BF334" s="5"/>
    </row>
    <row r="335" spans="2:58" s="141" customFormat="1" x14ac:dyDescent="0.25">
      <c r="B335" s="128"/>
      <c r="C335" s="109"/>
      <c r="D335" s="109"/>
      <c r="E335" s="129"/>
      <c r="F335" s="42"/>
      <c r="G335" s="5"/>
      <c r="H335" s="158"/>
      <c r="I335" s="171"/>
      <c r="J335" s="172"/>
      <c r="K335" s="161"/>
      <c r="L335" s="162"/>
      <c r="M335" s="162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32"/>
      <c r="AX335" s="32"/>
      <c r="AY335" s="32"/>
      <c r="AZ335" s="5"/>
      <c r="BA335" s="5"/>
      <c r="BB335" s="5"/>
      <c r="BC335" s="5"/>
      <c r="BD335" s="5"/>
      <c r="BE335" s="5"/>
      <c r="BF335" s="5"/>
    </row>
    <row r="336" spans="2:58" s="141" customFormat="1" x14ac:dyDescent="0.25">
      <c r="B336" s="128"/>
      <c r="C336" s="109"/>
      <c r="D336" s="109"/>
      <c r="E336" s="129"/>
      <c r="F336" s="42"/>
      <c r="G336" s="5"/>
      <c r="H336" s="158"/>
      <c r="I336" s="171"/>
      <c r="J336" s="172"/>
      <c r="K336" s="161"/>
      <c r="L336" s="162"/>
      <c r="M336" s="162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32"/>
      <c r="AX336" s="32"/>
      <c r="AY336" s="32"/>
      <c r="AZ336" s="5"/>
      <c r="BA336" s="5"/>
      <c r="BB336" s="5"/>
      <c r="BC336" s="5"/>
      <c r="BD336" s="5"/>
      <c r="BE336" s="5"/>
      <c r="BF336" s="5"/>
    </row>
    <row r="337" spans="2:58" s="141" customFormat="1" x14ac:dyDescent="0.25">
      <c r="B337" s="128"/>
      <c r="C337" s="109"/>
      <c r="D337" s="109"/>
      <c r="E337" s="129"/>
      <c r="F337" s="42"/>
      <c r="G337" s="5"/>
      <c r="H337" s="158"/>
      <c r="I337" s="171"/>
      <c r="J337" s="172"/>
      <c r="K337" s="161"/>
      <c r="L337" s="162"/>
      <c r="M337" s="162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32"/>
      <c r="AX337" s="32"/>
      <c r="AY337" s="32"/>
      <c r="AZ337" s="5"/>
      <c r="BA337" s="5"/>
      <c r="BB337" s="5"/>
      <c r="BC337" s="5"/>
      <c r="BD337" s="5"/>
      <c r="BE337" s="5"/>
      <c r="BF337" s="5"/>
    </row>
    <row r="338" spans="2:58" s="141" customFormat="1" x14ac:dyDescent="0.25">
      <c r="B338" s="128"/>
      <c r="C338" s="109"/>
      <c r="D338" s="109"/>
      <c r="E338" s="129"/>
      <c r="F338" s="42"/>
      <c r="G338" s="5"/>
      <c r="H338" s="158"/>
      <c r="I338" s="171"/>
      <c r="J338" s="172"/>
      <c r="K338" s="161"/>
      <c r="L338" s="162"/>
      <c r="M338" s="162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32"/>
      <c r="AX338" s="32"/>
      <c r="AY338" s="32"/>
      <c r="AZ338" s="5"/>
      <c r="BA338" s="5"/>
      <c r="BB338" s="5"/>
      <c r="BC338" s="5"/>
      <c r="BD338" s="5"/>
      <c r="BE338" s="5"/>
      <c r="BF338" s="5"/>
    </row>
    <row r="339" spans="2:58" s="141" customFormat="1" x14ac:dyDescent="0.25">
      <c r="B339" s="128"/>
      <c r="C339" s="109"/>
      <c r="D339" s="109"/>
      <c r="E339" s="129"/>
      <c r="F339" s="42"/>
      <c r="G339" s="5"/>
      <c r="H339" s="158"/>
      <c r="I339" s="171"/>
      <c r="J339" s="172"/>
      <c r="K339" s="161"/>
      <c r="L339" s="162"/>
      <c r="M339" s="162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32"/>
      <c r="AX339" s="32"/>
      <c r="AY339" s="32"/>
      <c r="AZ339" s="5"/>
      <c r="BA339" s="5"/>
      <c r="BB339" s="5"/>
      <c r="BC339" s="5"/>
      <c r="BD339" s="5"/>
      <c r="BE339" s="5"/>
      <c r="BF339" s="5"/>
    </row>
    <row r="340" spans="2:58" s="141" customFormat="1" x14ac:dyDescent="0.25">
      <c r="B340" s="128"/>
      <c r="C340" s="109"/>
      <c r="D340" s="109"/>
      <c r="E340" s="129"/>
      <c r="F340" s="42"/>
      <c r="G340" s="5"/>
      <c r="H340" s="158"/>
      <c r="I340" s="171"/>
      <c r="J340" s="172"/>
      <c r="K340" s="161"/>
      <c r="L340" s="162"/>
      <c r="M340" s="162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32"/>
      <c r="AX340" s="32"/>
      <c r="AY340" s="32"/>
      <c r="AZ340" s="5"/>
      <c r="BA340" s="5"/>
      <c r="BB340" s="5"/>
      <c r="BC340" s="5"/>
      <c r="BD340" s="5"/>
      <c r="BE340" s="5"/>
      <c r="BF340" s="5"/>
    </row>
    <row r="341" spans="2:58" s="141" customFormat="1" x14ac:dyDescent="0.25">
      <c r="B341" s="128"/>
      <c r="C341" s="109"/>
      <c r="D341" s="109"/>
      <c r="E341" s="129"/>
      <c r="F341" s="42"/>
      <c r="G341" s="5"/>
      <c r="H341" s="158"/>
      <c r="I341" s="171"/>
      <c r="J341" s="172"/>
      <c r="K341" s="161"/>
      <c r="L341" s="162"/>
      <c r="M341" s="162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32"/>
      <c r="AX341" s="32"/>
      <c r="AY341" s="32"/>
      <c r="AZ341" s="5"/>
      <c r="BA341" s="5"/>
      <c r="BB341" s="5"/>
      <c r="BC341" s="5"/>
      <c r="BD341" s="5"/>
      <c r="BE341" s="5"/>
      <c r="BF341" s="5"/>
    </row>
    <row r="342" spans="2:58" s="141" customFormat="1" x14ac:dyDescent="0.25">
      <c r="B342" s="128"/>
      <c r="C342" s="109"/>
      <c r="D342" s="109"/>
      <c r="E342" s="129"/>
      <c r="F342" s="42"/>
      <c r="G342" s="5"/>
      <c r="H342" s="158"/>
      <c r="I342" s="171"/>
      <c r="J342" s="172"/>
      <c r="K342" s="161"/>
      <c r="L342" s="162"/>
      <c r="M342" s="162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32"/>
      <c r="AX342" s="32"/>
      <c r="AY342" s="32"/>
      <c r="AZ342" s="5"/>
      <c r="BA342" s="5"/>
      <c r="BB342" s="5"/>
      <c r="BC342" s="5"/>
      <c r="BD342" s="5"/>
      <c r="BE342" s="5"/>
      <c r="BF342" s="5"/>
    </row>
    <row r="343" spans="2:58" s="141" customFormat="1" x14ac:dyDescent="0.25">
      <c r="B343" s="128"/>
      <c r="C343" s="109"/>
      <c r="D343" s="109"/>
      <c r="E343" s="129"/>
      <c r="F343" s="42"/>
      <c r="G343" s="5"/>
      <c r="H343" s="158"/>
      <c r="I343" s="171"/>
      <c r="J343" s="172"/>
      <c r="K343" s="161"/>
      <c r="L343" s="162"/>
      <c r="M343" s="162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32"/>
      <c r="AX343" s="32"/>
      <c r="AY343" s="32"/>
      <c r="AZ343" s="5"/>
      <c r="BA343" s="5"/>
      <c r="BB343" s="5"/>
      <c r="BC343" s="5"/>
      <c r="BD343" s="5"/>
      <c r="BE343" s="5"/>
      <c r="BF343" s="5"/>
    </row>
    <row r="344" spans="2:58" s="141" customFormat="1" x14ac:dyDescent="0.25">
      <c r="B344" s="128"/>
      <c r="C344" s="109"/>
      <c r="D344" s="109"/>
      <c r="E344" s="129"/>
      <c r="F344" s="42"/>
      <c r="G344" s="5"/>
      <c r="H344" s="158"/>
      <c r="I344" s="171"/>
      <c r="J344" s="172"/>
      <c r="K344" s="161"/>
      <c r="L344" s="162"/>
      <c r="M344" s="162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32"/>
      <c r="AX344" s="32"/>
      <c r="AY344" s="32"/>
      <c r="AZ344" s="5"/>
      <c r="BA344" s="5"/>
      <c r="BB344" s="5"/>
      <c r="BC344" s="5"/>
      <c r="BD344" s="5"/>
      <c r="BE344" s="5"/>
      <c r="BF344" s="5"/>
    </row>
    <row r="345" spans="2:58" s="141" customFormat="1" x14ac:dyDescent="0.25">
      <c r="B345" s="128"/>
      <c r="C345" s="109"/>
      <c r="D345" s="109"/>
      <c r="E345" s="129"/>
      <c r="F345" s="42"/>
      <c r="G345" s="5"/>
      <c r="H345" s="158"/>
      <c r="I345" s="171"/>
      <c r="J345" s="172"/>
      <c r="K345" s="161"/>
      <c r="L345" s="162"/>
      <c r="M345" s="162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32"/>
      <c r="AX345" s="32"/>
      <c r="AY345" s="32"/>
      <c r="AZ345" s="5"/>
      <c r="BA345" s="5"/>
      <c r="BB345" s="5"/>
      <c r="BC345" s="5"/>
      <c r="BD345" s="5"/>
      <c r="BE345" s="5"/>
      <c r="BF345" s="5"/>
    </row>
    <row r="346" spans="2:58" s="141" customFormat="1" x14ac:dyDescent="0.25">
      <c r="B346" s="128"/>
      <c r="C346" s="109"/>
      <c r="D346" s="109"/>
      <c r="E346" s="129"/>
      <c r="F346" s="42"/>
      <c r="G346" s="5"/>
      <c r="H346" s="158"/>
      <c r="I346" s="171"/>
      <c r="J346" s="172"/>
      <c r="K346" s="161"/>
      <c r="L346" s="162"/>
      <c r="M346" s="162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32"/>
      <c r="AX346" s="32"/>
      <c r="AY346" s="32"/>
      <c r="AZ346" s="5"/>
      <c r="BA346" s="5"/>
      <c r="BB346" s="5"/>
      <c r="BC346" s="5"/>
      <c r="BD346" s="5"/>
      <c r="BE346" s="5"/>
      <c r="BF346" s="5"/>
    </row>
    <row r="347" spans="2:58" s="141" customFormat="1" x14ac:dyDescent="0.25">
      <c r="B347" s="128"/>
      <c r="C347" s="109"/>
      <c r="D347" s="109"/>
      <c r="E347" s="129"/>
      <c r="F347" s="42"/>
      <c r="G347" s="5"/>
      <c r="H347" s="158"/>
      <c r="I347" s="171"/>
      <c r="J347" s="172"/>
      <c r="K347" s="161"/>
      <c r="L347" s="162"/>
      <c r="M347" s="162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32"/>
      <c r="AX347" s="32"/>
      <c r="AY347" s="32"/>
      <c r="AZ347" s="5"/>
      <c r="BA347" s="5"/>
      <c r="BB347" s="5"/>
      <c r="BC347" s="5"/>
      <c r="BD347" s="5"/>
      <c r="BE347" s="5"/>
      <c r="BF347" s="5"/>
    </row>
    <row r="348" spans="2:58" s="141" customFormat="1" x14ac:dyDescent="0.25">
      <c r="B348" s="128"/>
      <c r="C348" s="109"/>
      <c r="D348" s="109"/>
      <c r="E348" s="129"/>
      <c r="F348" s="42"/>
      <c r="G348" s="5"/>
      <c r="H348" s="158"/>
      <c r="I348" s="171"/>
      <c r="J348" s="172"/>
      <c r="K348" s="161"/>
      <c r="L348" s="162"/>
      <c r="M348" s="162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32"/>
      <c r="AX348" s="32"/>
      <c r="AY348" s="32"/>
      <c r="AZ348" s="5"/>
      <c r="BA348" s="5"/>
      <c r="BB348" s="5"/>
      <c r="BC348" s="5"/>
      <c r="BD348" s="5"/>
      <c r="BE348" s="5"/>
      <c r="BF348" s="5"/>
    </row>
    <row r="349" spans="2:58" s="141" customFormat="1" x14ac:dyDescent="0.25">
      <c r="B349" s="128"/>
      <c r="C349" s="109"/>
      <c r="D349" s="109"/>
      <c r="E349" s="129"/>
      <c r="F349" s="42"/>
      <c r="G349" s="5"/>
      <c r="H349" s="158"/>
      <c r="I349" s="171"/>
      <c r="J349" s="172"/>
      <c r="K349" s="161"/>
      <c r="L349" s="162"/>
      <c r="M349" s="162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32"/>
      <c r="AX349" s="32"/>
      <c r="AY349" s="32"/>
      <c r="AZ349" s="5"/>
      <c r="BA349" s="5"/>
      <c r="BB349" s="5"/>
      <c r="BC349" s="5"/>
      <c r="BD349" s="5"/>
      <c r="BE349" s="5"/>
      <c r="BF349" s="5"/>
    </row>
    <row r="350" spans="2:58" s="141" customFormat="1" x14ac:dyDescent="0.25">
      <c r="B350" s="128"/>
      <c r="C350" s="109"/>
      <c r="D350" s="109"/>
      <c r="E350" s="129"/>
      <c r="F350" s="42"/>
      <c r="G350" s="5"/>
      <c r="H350" s="158"/>
      <c r="I350" s="171"/>
      <c r="J350" s="172"/>
      <c r="K350" s="161"/>
      <c r="L350" s="162"/>
      <c r="M350" s="162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32"/>
      <c r="AX350" s="32"/>
      <c r="AY350" s="32"/>
      <c r="AZ350" s="5"/>
      <c r="BA350" s="5"/>
      <c r="BB350" s="5"/>
      <c r="BC350" s="5"/>
      <c r="BD350" s="5"/>
      <c r="BE350" s="5"/>
      <c r="BF350" s="5"/>
    </row>
    <row r="351" spans="2:58" s="141" customFormat="1" x14ac:dyDescent="0.25">
      <c r="B351" s="128"/>
      <c r="C351" s="109"/>
      <c r="D351" s="109"/>
      <c r="E351" s="129"/>
      <c r="F351" s="42"/>
      <c r="G351" s="5"/>
      <c r="H351" s="158"/>
      <c r="I351" s="171"/>
      <c r="J351" s="172"/>
      <c r="K351" s="161"/>
      <c r="L351" s="162"/>
      <c r="M351" s="162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32"/>
      <c r="AX351" s="32"/>
      <c r="AY351" s="32"/>
      <c r="AZ351" s="5"/>
      <c r="BA351" s="5"/>
      <c r="BB351" s="5"/>
      <c r="BC351" s="5"/>
      <c r="BD351" s="5"/>
      <c r="BE351" s="5"/>
      <c r="BF351" s="5"/>
    </row>
    <row r="352" spans="2:58" s="141" customFormat="1" x14ac:dyDescent="0.25">
      <c r="B352" s="128"/>
      <c r="C352" s="109"/>
      <c r="D352" s="109"/>
      <c r="E352" s="129"/>
      <c r="F352" s="42"/>
      <c r="G352" s="5"/>
      <c r="H352" s="158"/>
      <c r="I352" s="171"/>
      <c r="J352" s="172"/>
      <c r="K352" s="161"/>
      <c r="L352" s="162"/>
      <c r="M352" s="162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32"/>
      <c r="AX352" s="32"/>
      <c r="AY352" s="32"/>
      <c r="AZ352" s="5"/>
      <c r="BA352" s="5"/>
      <c r="BB352" s="5"/>
      <c r="BC352" s="5"/>
      <c r="BD352" s="5"/>
      <c r="BE352" s="5"/>
      <c r="BF352" s="5"/>
    </row>
    <row r="353" spans="2:58" s="141" customFormat="1" x14ac:dyDescent="0.25">
      <c r="B353" s="128"/>
      <c r="C353" s="109"/>
      <c r="D353" s="109"/>
      <c r="E353" s="129"/>
      <c r="F353" s="42"/>
      <c r="G353" s="5"/>
      <c r="H353" s="158"/>
      <c r="I353" s="171"/>
      <c r="J353" s="172"/>
      <c r="K353" s="161"/>
      <c r="L353" s="162"/>
      <c r="M353" s="162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32"/>
      <c r="AX353" s="32"/>
      <c r="AY353" s="32"/>
      <c r="AZ353" s="5"/>
      <c r="BA353" s="5"/>
      <c r="BB353" s="5"/>
      <c r="BC353" s="5"/>
      <c r="BD353" s="5"/>
      <c r="BE353" s="5"/>
      <c r="BF353" s="5"/>
    </row>
    <row r="354" spans="2:58" s="141" customFormat="1" x14ac:dyDescent="0.25">
      <c r="B354" s="128"/>
      <c r="C354" s="109"/>
      <c r="D354" s="109"/>
      <c r="E354" s="129"/>
      <c r="F354" s="42"/>
      <c r="G354" s="5"/>
      <c r="H354" s="158"/>
      <c r="I354" s="171"/>
      <c r="J354" s="172"/>
      <c r="K354" s="161"/>
      <c r="L354" s="162"/>
      <c r="M354" s="162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32"/>
      <c r="AX354" s="32"/>
      <c r="AY354" s="32"/>
      <c r="AZ354" s="5"/>
      <c r="BA354" s="5"/>
      <c r="BB354" s="5"/>
      <c r="BC354" s="5"/>
      <c r="BD354" s="5"/>
      <c r="BE354" s="5"/>
      <c r="BF354" s="5"/>
    </row>
    <row r="355" spans="2:58" s="141" customFormat="1" x14ac:dyDescent="0.25">
      <c r="B355" s="128"/>
      <c r="C355" s="109"/>
      <c r="D355" s="109"/>
      <c r="E355" s="129"/>
      <c r="F355" s="42"/>
      <c r="G355" s="5"/>
      <c r="H355" s="158"/>
      <c r="I355" s="171"/>
      <c r="J355" s="172"/>
      <c r="K355" s="161"/>
      <c r="L355" s="162"/>
      <c r="M355" s="162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32"/>
      <c r="AX355" s="32"/>
      <c r="AY355" s="32"/>
      <c r="AZ355" s="5"/>
      <c r="BA355" s="5"/>
      <c r="BB355" s="5"/>
      <c r="BC355" s="5"/>
      <c r="BD355" s="5"/>
      <c r="BE355" s="5"/>
      <c r="BF355" s="5"/>
    </row>
    <row r="356" spans="2:58" s="141" customFormat="1" x14ac:dyDescent="0.25">
      <c r="B356" s="128"/>
      <c r="C356" s="109"/>
      <c r="D356" s="109"/>
      <c r="E356" s="129"/>
      <c r="F356" s="42"/>
      <c r="G356" s="5"/>
      <c r="H356" s="158"/>
      <c r="I356" s="171"/>
      <c r="J356" s="172"/>
      <c r="K356" s="161"/>
      <c r="L356" s="162"/>
      <c r="M356" s="162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32"/>
      <c r="AX356" s="32"/>
      <c r="AY356" s="32"/>
      <c r="AZ356" s="5"/>
      <c r="BA356" s="5"/>
      <c r="BB356" s="5"/>
      <c r="BC356" s="5"/>
      <c r="BD356" s="5"/>
      <c r="BE356" s="5"/>
      <c r="BF356" s="5"/>
    </row>
    <row r="357" spans="2:58" s="141" customFormat="1" x14ac:dyDescent="0.25">
      <c r="B357" s="128"/>
      <c r="C357" s="109"/>
      <c r="D357" s="109"/>
      <c r="E357" s="129"/>
      <c r="F357" s="42"/>
      <c r="G357" s="5"/>
      <c r="H357" s="158"/>
      <c r="I357" s="171"/>
      <c r="J357" s="172"/>
      <c r="K357" s="161"/>
      <c r="L357" s="162"/>
      <c r="M357" s="162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32"/>
      <c r="AX357" s="32"/>
      <c r="AY357" s="32"/>
      <c r="AZ357" s="5"/>
      <c r="BA357" s="5"/>
      <c r="BB357" s="5"/>
      <c r="BC357" s="5"/>
      <c r="BD357" s="5"/>
      <c r="BE357" s="5"/>
      <c r="BF357" s="5"/>
    </row>
    <row r="358" spans="2:58" s="141" customFormat="1" x14ac:dyDescent="0.25">
      <c r="B358" s="128"/>
      <c r="C358" s="109"/>
      <c r="D358" s="109"/>
      <c r="E358" s="129"/>
      <c r="F358" s="42"/>
      <c r="G358" s="5"/>
      <c r="H358" s="158"/>
      <c r="I358" s="171"/>
      <c r="J358" s="172"/>
      <c r="K358" s="161"/>
      <c r="L358" s="162"/>
      <c r="M358" s="162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32"/>
      <c r="AX358" s="32"/>
      <c r="AY358" s="32"/>
      <c r="AZ358" s="5"/>
      <c r="BA358" s="5"/>
      <c r="BB358" s="5"/>
      <c r="BC358" s="5"/>
      <c r="BD358" s="5"/>
      <c r="BE358" s="5"/>
      <c r="BF358" s="5"/>
    </row>
    <row r="359" spans="2:58" s="141" customFormat="1" x14ac:dyDescent="0.25">
      <c r="B359" s="128"/>
      <c r="C359" s="109"/>
      <c r="D359" s="109"/>
      <c r="E359" s="129"/>
      <c r="F359" s="42"/>
      <c r="G359" s="5"/>
      <c r="H359" s="158"/>
      <c r="I359" s="171"/>
      <c r="J359" s="172"/>
      <c r="K359" s="161"/>
      <c r="L359" s="162"/>
      <c r="M359" s="162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32"/>
      <c r="AX359" s="32"/>
      <c r="AY359" s="32"/>
      <c r="AZ359" s="5"/>
      <c r="BA359" s="5"/>
      <c r="BB359" s="5"/>
      <c r="BC359" s="5"/>
      <c r="BD359" s="5"/>
      <c r="BE359" s="5"/>
      <c r="BF359" s="5"/>
    </row>
    <row r="360" spans="2:58" s="141" customFormat="1" x14ac:dyDescent="0.25">
      <c r="B360" s="128"/>
      <c r="C360" s="109"/>
      <c r="D360" s="109"/>
      <c r="E360" s="129"/>
      <c r="F360" s="42"/>
      <c r="G360" s="5"/>
      <c r="H360" s="158"/>
      <c r="I360" s="171"/>
      <c r="J360" s="172"/>
      <c r="K360" s="161"/>
      <c r="L360" s="162"/>
      <c r="M360" s="162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32"/>
      <c r="AX360" s="32"/>
      <c r="AY360" s="32"/>
      <c r="AZ360" s="5"/>
      <c r="BA360" s="5"/>
      <c r="BB360" s="5"/>
      <c r="BC360" s="5"/>
      <c r="BD360" s="5"/>
      <c r="BE360" s="5"/>
      <c r="BF360" s="5"/>
    </row>
    <row r="361" spans="2:58" s="141" customFormat="1" x14ac:dyDescent="0.25">
      <c r="B361" s="128"/>
      <c r="C361" s="109"/>
      <c r="D361" s="109"/>
      <c r="E361" s="129"/>
      <c r="F361" s="42"/>
      <c r="G361" s="5"/>
      <c r="H361" s="158"/>
      <c r="I361" s="171"/>
      <c r="J361" s="172"/>
      <c r="K361" s="161"/>
      <c r="L361" s="162"/>
      <c r="M361" s="162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32"/>
      <c r="AX361" s="32"/>
      <c r="AY361" s="32"/>
      <c r="AZ361" s="5"/>
      <c r="BA361" s="5"/>
      <c r="BB361" s="5"/>
      <c r="BC361" s="5"/>
      <c r="BD361" s="5"/>
      <c r="BE361" s="5"/>
      <c r="BF361" s="5"/>
    </row>
    <row r="362" spans="2:58" s="141" customFormat="1" x14ac:dyDescent="0.25">
      <c r="B362" s="128"/>
      <c r="C362" s="109"/>
      <c r="D362" s="109"/>
      <c r="E362" s="129"/>
      <c r="F362" s="42"/>
      <c r="G362" s="5"/>
      <c r="H362" s="158"/>
      <c r="I362" s="171"/>
      <c r="J362" s="172"/>
      <c r="K362" s="161"/>
      <c r="L362" s="162"/>
      <c r="M362" s="162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32"/>
      <c r="AX362" s="32"/>
      <c r="AY362" s="32"/>
      <c r="AZ362" s="5"/>
      <c r="BA362" s="5"/>
      <c r="BB362" s="5"/>
      <c r="BC362" s="5"/>
      <c r="BD362" s="5"/>
      <c r="BE362" s="5"/>
      <c r="BF362" s="5"/>
    </row>
    <row r="363" spans="2:58" s="141" customFormat="1" x14ac:dyDescent="0.25">
      <c r="B363" s="128"/>
      <c r="C363" s="109"/>
      <c r="D363" s="109"/>
      <c r="E363" s="129"/>
      <c r="F363" s="42"/>
      <c r="G363" s="5"/>
      <c r="H363" s="158"/>
      <c r="I363" s="171"/>
      <c r="J363" s="172"/>
      <c r="K363" s="161"/>
      <c r="L363" s="162"/>
      <c r="M363" s="162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32"/>
      <c r="AX363" s="32"/>
      <c r="AY363" s="32"/>
      <c r="AZ363" s="5"/>
      <c r="BA363" s="5"/>
      <c r="BB363" s="5"/>
      <c r="BC363" s="5"/>
      <c r="BD363" s="5"/>
      <c r="BE363" s="5"/>
      <c r="BF363" s="5"/>
    </row>
    <row r="364" spans="2:58" s="141" customFormat="1" x14ac:dyDescent="0.25">
      <c r="B364" s="128"/>
      <c r="C364" s="109"/>
      <c r="D364" s="109"/>
      <c r="E364" s="129"/>
      <c r="F364" s="42"/>
      <c r="G364" s="5"/>
      <c r="H364" s="158"/>
      <c r="I364" s="171"/>
      <c r="J364" s="172"/>
      <c r="K364" s="161"/>
      <c r="L364" s="162"/>
      <c r="M364" s="162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32"/>
      <c r="AX364" s="32"/>
      <c r="AY364" s="32"/>
      <c r="AZ364" s="5"/>
      <c r="BA364" s="5"/>
      <c r="BB364" s="5"/>
      <c r="BC364" s="5"/>
      <c r="BD364" s="5"/>
      <c r="BE364" s="5"/>
      <c r="BF364" s="5"/>
    </row>
    <row r="365" spans="2:58" s="141" customFormat="1" x14ac:dyDescent="0.25">
      <c r="B365" s="128"/>
      <c r="C365" s="109"/>
      <c r="D365" s="109"/>
      <c r="E365" s="129"/>
      <c r="F365" s="42"/>
      <c r="G365" s="5"/>
      <c r="H365" s="158"/>
      <c r="I365" s="171"/>
      <c r="J365" s="172"/>
      <c r="K365" s="161"/>
      <c r="L365" s="162"/>
      <c r="M365" s="162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32"/>
      <c r="AX365" s="32"/>
      <c r="AY365" s="32"/>
      <c r="AZ365" s="5"/>
      <c r="BA365" s="5"/>
      <c r="BB365" s="5"/>
      <c r="BC365" s="5"/>
      <c r="BD365" s="5"/>
      <c r="BE365" s="5"/>
      <c r="BF365" s="5"/>
    </row>
    <row r="366" spans="2:58" s="141" customFormat="1" x14ac:dyDescent="0.25">
      <c r="B366" s="128"/>
      <c r="C366" s="109"/>
      <c r="D366" s="109"/>
      <c r="E366" s="129"/>
      <c r="F366" s="42"/>
      <c r="G366" s="5"/>
      <c r="H366" s="158"/>
      <c r="I366" s="171"/>
      <c r="J366" s="172"/>
      <c r="K366" s="161"/>
      <c r="L366" s="162"/>
      <c r="M366" s="162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32"/>
      <c r="AX366" s="32"/>
      <c r="AY366" s="32"/>
      <c r="AZ366" s="5"/>
      <c r="BA366" s="5"/>
      <c r="BB366" s="5"/>
      <c r="BC366" s="5"/>
      <c r="BD366" s="5"/>
      <c r="BE366" s="5"/>
      <c r="BF366" s="5"/>
    </row>
    <row r="367" spans="2:58" s="141" customFormat="1" x14ac:dyDescent="0.25">
      <c r="B367" s="128"/>
      <c r="C367" s="109"/>
      <c r="D367" s="109"/>
      <c r="E367" s="129"/>
      <c r="F367" s="42"/>
      <c r="G367" s="5"/>
      <c r="H367" s="158"/>
      <c r="I367" s="171"/>
      <c r="J367" s="172"/>
      <c r="K367" s="161"/>
      <c r="L367" s="162"/>
      <c r="M367" s="162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32"/>
      <c r="AX367" s="32"/>
      <c r="AY367" s="32"/>
      <c r="AZ367" s="5"/>
      <c r="BA367" s="5"/>
      <c r="BB367" s="5"/>
      <c r="BC367" s="5"/>
      <c r="BD367" s="5"/>
      <c r="BE367" s="5"/>
      <c r="BF367" s="5"/>
    </row>
    <row r="368" spans="2:58" s="141" customFormat="1" x14ac:dyDescent="0.25">
      <c r="B368" s="128"/>
      <c r="C368" s="109"/>
      <c r="D368" s="109"/>
      <c r="E368" s="129"/>
      <c r="F368" s="42"/>
      <c r="G368" s="5"/>
      <c r="H368" s="158"/>
      <c r="I368" s="171"/>
      <c r="J368" s="172"/>
      <c r="K368" s="161"/>
      <c r="L368" s="162"/>
      <c r="M368" s="162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32"/>
      <c r="AX368" s="32"/>
      <c r="AY368" s="32"/>
      <c r="AZ368" s="5"/>
      <c r="BA368" s="5"/>
      <c r="BB368" s="5"/>
      <c r="BC368" s="5"/>
      <c r="BD368" s="5"/>
      <c r="BE368" s="5"/>
      <c r="BF368" s="5"/>
    </row>
    <row r="369" spans="2:58" s="141" customFormat="1" x14ac:dyDescent="0.25">
      <c r="B369" s="128"/>
      <c r="C369" s="109"/>
      <c r="D369" s="109"/>
      <c r="E369" s="129"/>
      <c r="F369" s="42"/>
      <c r="G369" s="5"/>
      <c r="H369" s="158"/>
      <c r="I369" s="171"/>
      <c r="J369" s="172"/>
      <c r="K369" s="161"/>
      <c r="L369" s="162"/>
      <c r="M369" s="162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32"/>
      <c r="AX369" s="32"/>
      <c r="AY369" s="32"/>
      <c r="AZ369" s="5"/>
      <c r="BA369" s="5"/>
      <c r="BB369" s="5"/>
      <c r="BC369" s="5"/>
      <c r="BD369" s="5"/>
      <c r="BE369" s="5"/>
      <c r="BF369" s="5"/>
    </row>
    <row r="370" spans="2:58" s="141" customFormat="1" x14ac:dyDescent="0.25">
      <c r="B370" s="128"/>
      <c r="C370" s="109"/>
      <c r="D370" s="109"/>
      <c r="E370" s="129"/>
      <c r="F370" s="42"/>
      <c r="G370" s="5"/>
      <c r="H370" s="158"/>
      <c r="I370" s="171"/>
      <c r="J370" s="172"/>
      <c r="K370" s="161"/>
      <c r="L370" s="162"/>
      <c r="M370" s="162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32"/>
      <c r="AX370" s="32"/>
      <c r="AY370" s="32"/>
      <c r="AZ370" s="5"/>
      <c r="BA370" s="5"/>
      <c r="BB370" s="5"/>
      <c r="BC370" s="5"/>
      <c r="BD370" s="5"/>
      <c r="BE370" s="5"/>
      <c r="BF370" s="5"/>
    </row>
    <row r="371" spans="2:58" s="141" customFormat="1" x14ac:dyDescent="0.25">
      <c r="B371" s="128"/>
      <c r="C371" s="109"/>
      <c r="D371" s="109"/>
      <c r="E371" s="129"/>
      <c r="F371" s="42"/>
      <c r="G371" s="5"/>
      <c r="H371" s="158"/>
      <c r="I371" s="171"/>
      <c r="J371" s="172"/>
      <c r="K371" s="161"/>
      <c r="L371" s="162"/>
      <c r="M371" s="162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32"/>
      <c r="AX371" s="32"/>
      <c r="AY371" s="32"/>
      <c r="AZ371" s="5"/>
      <c r="BA371" s="5"/>
      <c r="BB371" s="5"/>
      <c r="BC371" s="5"/>
      <c r="BD371" s="5"/>
      <c r="BE371" s="5"/>
      <c r="BF371" s="5"/>
    </row>
    <row r="372" spans="2:58" s="141" customFormat="1" x14ac:dyDescent="0.25">
      <c r="B372" s="128"/>
      <c r="C372" s="109"/>
      <c r="D372" s="109"/>
      <c r="E372" s="129"/>
      <c r="F372" s="42"/>
      <c r="G372" s="5"/>
      <c r="H372" s="158"/>
      <c r="I372" s="171"/>
      <c r="J372" s="172"/>
      <c r="K372" s="161"/>
      <c r="L372" s="162"/>
      <c r="M372" s="162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32"/>
      <c r="AX372" s="32"/>
      <c r="AY372" s="32"/>
      <c r="AZ372" s="5"/>
      <c r="BA372" s="5"/>
      <c r="BB372" s="5"/>
      <c r="BC372" s="5"/>
      <c r="BD372" s="5"/>
      <c r="BE372" s="5"/>
      <c r="BF372" s="5"/>
    </row>
    <row r="373" spans="2:58" s="141" customFormat="1" x14ac:dyDescent="0.25">
      <c r="B373" s="128"/>
      <c r="C373" s="109"/>
      <c r="D373" s="109"/>
      <c r="E373" s="129"/>
      <c r="F373" s="42"/>
      <c r="G373" s="5"/>
      <c r="H373" s="158"/>
      <c r="I373" s="171"/>
      <c r="J373" s="172"/>
      <c r="K373" s="161"/>
      <c r="L373" s="162"/>
      <c r="M373" s="162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32"/>
      <c r="AX373" s="32"/>
      <c r="AY373" s="32"/>
      <c r="AZ373" s="5"/>
      <c r="BA373" s="5"/>
      <c r="BB373" s="5"/>
      <c r="BC373" s="5"/>
      <c r="BD373" s="5"/>
      <c r="BE373" s="5"/>
      <c r="BF373" s="5"/>
    </row>
    <row r="374" spans="2:58" s="141" customFormat="1" x14ac:dyDescent="0.25">
      <c r="B374" s="128"/>
      <c r="C374" s="109"/>
      <c r="D374" s="109"/>
      <c r="E374" s="129"/>
      <c r="F374" s="42"/>
      <c r="G374" s="5"/>
      <c r="H374" s="158"/>
      <c r="I374" s="171"/>
      <c r="J374" s="172"/>
      <c r="K374" s="161"/>
      <c r="L374" s="162"/>
      <c r="M374" s="162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32"/>
      <c r="AX374" s="32"/>
      <c r="AY374" s="32"/>
      <c r="AZ374" s="5"/>
      <c r="BA374" s="5"/>
      <c r="BB374" s="5"/>
      <c r="BC374" s="5"/>
      <c r="BD374" s="5"/>
      <c r="BE374" s="5"/>
      <c r="BF374" s="5"/>
    </row>
    <row r="375" spans="2:58" s="141" customFormat="1" x14ac:dyDescent="0.25">
      <c r="B375" s="128"/>
      <c r="C375" s="109"/>
      <c r="D375" s="109"/>
      <c r="E375" s="129"/>
      <c r="F375" s="42"/>
      <c r="G375" s="5"/>
      <c r="H375" s="158"/>
      <c r="I375" s="171"/>
      <c r="J375" s="172"/>
      <c r="K375" s="161"/>
      <c r="L375" s="162"/>
      <c r="M375" s="162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32"/>
      <c r="AX375" s="32"/>
      <c r="AY375" s="32"/>
      <c r="AZ375" s="5"/>
      <c r="BA375" s="5"/>
      <c r="BB375" s="5"/>
      <c r="BC375" s="5"/>
      <c r="BD375" s="5"/>
      <c r="BE375" s="5"/>
      <c r="BF375" s="5"/>
    </row>
    <row r="376" spans="2:58" s="141" customFormat="1" x14ac:dyDescent="0.25">
      <c r="B376" s="128"/>
      <c r="C376" s="109"/>
      <c r="D376" s="109"/>
      <c r="E376" s="129"/>
      <c r="F376" s="42"/>
      <c r="G376" s="5"/>
      <c r="H376" s="158"/>
      <c r="I376" s="171"/>
      <c r="J376" s="172"/>
      <c r="K376" s="161"/>
      <c r="L376" s="162"/>
      <c r="M376" s="162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32"/>
      <c r="AX376" s="32"/>
      <c r="AY376" s="32"/>
      <c r="AZ376" s="5"/>
      <c r="BA376" s="5"/>
      <c r="BB376" s="5"/>
      <c r="BC376" s="5"/>
      <c r="BD376" s="5"/>
      <c r="BE376" s="5"/>
      <c r="BF376" s="5"/>
    </row>
    <row r="377" spans="2:58" s="141" customFormat="1" x14ac:dyDescent="0.25">
      <c r="B377" s="128"/>
      <c r="C377" s="109"/>
      <c r="D377" s="109"/>
      <c r="E377" s="129"/>
      <c r="F377" s="42"/>
      <c r="G377" s="5"/>
      <c r="H377" s="158"/>
      <c r="I377" s="171"/>
      <c r="J377" s="172"/>
      <c r="K377" s="161"/>
      <c r="L377" s="162"/>
      <c r="M377" s="162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32"/>
      <c r="AX377" s="32"/>
      <c r="AY377" s="32"/>
      <c r="AZ377" s="5"/>
      <c r="BA377" s="5"/>
      <c r="BB377" s="5"/>
      <c r="BC377" s="5"/>
      <c r="BD377" s="5"/>
      <c r="BE377" s="5"/>
      <c r="BF377" s="5"/>
    </row>
    <row r="378" spans="2:58" s="141" customFormat="1" x14ac:dyDescent="0.25">
      <c r="B378" s="128"/>
      <c r="C378" s="109"/>
      <c r="D378" s="109"/>
      <c r="E378" s="129"/>
      <c r="F378" s="42"/>
      <c r="G378" s="5"/>
      <c r="H378" s="158"/>
      <c r="I378" s="171"/>
      <c r="J378" s="172"/>
      <c r="K378" s="161"/>
      <c r="L378" s="162"/>
      <c r="M378" s="162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32"/>
      <c r="AX378" s="32"/>
      <c r="AY378" s="32"/>
      <c r="AZ378" s="5"/>
      <c r="BA378" s="5"/>
      <c r="BB378" s="5"/>
      <c r="BC378" s="5"/>
      <c r="BD378" s="5"/>
      <c r="BE378" s="5"/>
      <c r="BF378" s="5"/>
    </row>
    <row r="379" spans="2:58" s="141" customFormat="1" x14ac:dyDescent="0.25">
      <c r="B379" s="128"/>
      <c r="C379" s="109"/>
      <c r="D379" s="109"/>
      <c r="E379" s="129"/>
      <c r="F379" s="42"/>
      <c r="G379" s="5"/>
      <c r="H379" s="158"/>
      <c r="I379" s="171"/>
      <c r="J379" s="172"/>
      <c r="K379" s="161"/>
      <c r="L379" s="162"/>
      <c r="M379" s="162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32"/>
      <c r="AX379" s="32"/>
      <c r="AY379" s="32"/>
      <c r="AZ379" s="5"/>
      <c r="BA379" s="5"/>
      <c r="BB379" s="5"/>
      <c r="BC379" s="5"/>
      <c r="BD379" s="5"/>
      <c r="BE379" s="5"/>
      <c r="BF379" s="5"/>
    </row>
    <row r="380" spans="2:58" s="141" customFormat="1" x14ac:dyDescent="0.25">
      <c r="B380" s="128"/>
      <c r="C380" s="109"/>
      <c r="D380" s="109"/>
      <c r="E380" s="129"/>
      <c r="F380" s="42"/>
      <c r="G380" s="5"/>
      <c r="H380" s="158"/>
      <c r="I380" s="171"/>
      <c r="J380" s="172"/>
      <c r="K380" s="161"/>
      <c r="L380" s="162"/>
      <c r="M380" s="162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32"/>
      <c r="AX380" s="32"/>
      <c r="AY380" s="32"/>
      <c r="AZ380" s="5"/>
      <c r="BA380" s="5"/>
      <c r="BB380" s="5"/>
      <c r="BC380" s="5"/>
      <c r="BD380" s="5"/>
      <c r="BE380" s="5"/>
      <c r="BF380" s="5"/>
    </row>
    <row r="381" spans="2:58" s="141" customFormat="1" x14ac:dyDescent="0.25">
      <c r="B381" s="128"/>
      <c r="C381" s="109"/>
      <c r="D381" s="109"/>
      <c r="E381" s="129"/>
      <c r="F381" s="42"/>
      <c r="G381" s="5"/>
      <c r="H381" s="158"/>
      <c r="I381" s="171"/>
      <c r="J381" s="172"/>
      <c r="K381" s="161"/>
      <c r="L381" s="162"/>
      <c r="M381" s="162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32"/>
      <c r="AX381" s="32"/>
      <c r="AY381" s="32"/>
      <c r="AZ381" s="5"/>
      <c r="BA381" s="5"/>
      <c r="BB381" s="5"/>
      <c r="BC381" s="5"/>
      <c r="BD381" s="5"/>
      <c r="BE381" s="5"/>
      <c r="BF381" s="5"/>
    </row>
    <row r="382" spans="2:58" s="141" customFormat="1" x14ac:dyDescent="0.25">
      <c r="B382" s="128"/>
      <c r="C382" s="109"/>
      <c r="D382" s="109"/>
      <c r="E382" s="129"/>
      <c r="F382" s="42"/>
      <c r="G382" s="5"/>
      <c r="H382" s="158"/>
      <c r="I382" s="171"/>
      <c r="J382" s="172"/>
      <c r="K382" s="161"/>
      <c r="L382" s="162"/>
      <c r="M382" s="162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32"/>
      <c r="AX382" s="32"/>
      <c r="AY382" s="32"/>
      <c r="AZ382" s="5"/>
      <c r="BA382" s="5"/>
      <c r="BB382" s="5"/>
      <c r="BC382" s="5"/>
      <c r="BD382" s="5"/>
      <c r="BE382" s="5"/>
      <c r="BF382" s="5"/>
    </row>
    <row r="383" spans="2:58" s="141" customFormat="1" x14ac:dyDescent="0.25">
      <c r="B383" s="128"/>
      <c r="C383" s="109"/>
      <c r="D383" s="109"/>
      <c r="E383" s="129"/>
      <c r="F383" s="42"/>
      <c r="G383" s="5"/>
      <c r="H383" s="158"/>
      <c r="I383" s="171"/>
      <c r="J383" s="172"/>
      <c r="K383" s="161"/>
      <c r="L383" s="162"/>
      <c r="M383" s="162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32"/>
      <c r="AX383" s="32"/>
      <c r="AY383" s="32"/>
      <c r="AZ383" s="5"/>
      <c r="BA383" s="5"/>
      <c r="BB383" s="5"/>
      <c r="BC383" s="5"/>
      <c r="BD383" s="5"/>
      <c r="BE383" s="5"/>
      <c r="BF383" s="5"/>
    </row>
    <row r="384" spans="2:58" s="141" customFormat="1" x14ac:dyDescent="0.25">
      <c r="B384" s="128"/>
      <c r="C384" s="109"/>
      <c r="D384" s="109"/>
      <c r="E384" s="129"/>
      <c r="F384" s="42"/>
      <c r="G384" s="5"/>
      <c r="H384" s="158"/>
      <c r="I384" s="171"/>
      <c r="J384" s="172"/>
      <c r="K384" s="161"/>
      <c r="L384" s="162"/>
      <c r="M384" s="162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32"/>
      <c r="AX384" s="32"/>
      <c r="AY384" s="32"/>
      <c r="AZ384" s="5"/>
      <c r="BA384" s="5"/>
      <c r="BB384" s="5"/>
      <c r="BC384" s="5"/>
      <c r="BD384" s="5"/>
      <c r="BE384" s="5"/>
      <c r="BF384" s="5"/>
    </row>
    <row r="385" spans="2:58" s="141" customFormat="1" x14ac:dyDescent="0.25">
      <c r="B385" s="128"/>
      <c r="C385" s="109"/>
      <c r="D385" s="109"/>
      <c r="E385" s="129"/>
      <c r="F385" s="42"/>
      <c r="G385" s="5"/>
      <c r="H385" s="158"/>
      <c r="I385" s="171"/>
      <c r="J385" s="172"/>
      <c r="K385" s="161"/>
      <c r="L385" s="162"/>
      <c r="M385" s="162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32"/>
      <c r="AX385" s="32"/>
      <c r="AY385" s="32"/>
      <c r="AZ385" s="5"/>
      <c r="BA385" s="5"/>
      <c r="BB385" s="5"/>
      <c r="BC385" s="5"/>
      <c r="BD385" s="5"/>
      <c r="BE385" s="5"/>
      <c r="BF385" s="5"/>
    </row>
    <row r="386" spans="2:58" s="141" customFormat="1" x14ac:dyDescent="0.25">
      <c r="B386" s="128"/>
      <c r="C386" s="109"/>
      <c r="D386" s="109"/>
      <c r="E386" s="129"/>
      <c r="F386" s="42"/>
      <c r="G386" s="5"/>
      <c r="H386" s="158"/>
      <c r="I386" s="171"/>
      <c r="J386" s="172"/>
      <c r="K386" s="161"/>
      <c r="L386" s="162"/>
      <c r="M386" s="162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32"/>
      <c r="AX386" s="32"/>
      <c r="AY386" s="32"/>
      <c r="AZ386" s="5"/>
      <c r="BA386" s="5"/>
      <c r="BB386" s="5"/>
      <c r="BC386" s="5"/>
      <c r="BD386" s="5"/>
      <c r="BE386" s="5"/>
      <c r="BF386" s="5"/>
    </row>
    <row r="387" spans="2:58" s="141" customFormat="1" x14ac:dyDescent="0.25">
      <c r="B387" s="128"/>
      <c r="C387" s="109"/>
      <c r="D387" s="109"/>
      <c r="E387" s="129"/>
      <c r="F387" s="42"/>
      <c r="G387" s="5"/>
      <c r="H387" s="158"/>
      <c r="I387" s="171"/>
      <c r="J387" s="172"/>
      <c r="K387" s="161"/>
      <c r="L387" s="162"/>
      <c r="M387" s="162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32"/>
      <c r="AX387" s="32"/>
      <c r="AY387" s="32"/>
      <c r="AZ387" s="5"/>
      <c r="BA387" s="5"/>
      <c r="BB387" s="5"/>
      <c r="BC387" s="5"/>
      <c r="BD387" s="5"/>
      <c r="BE387" s="5"/>
      <c r="BF387" s="5"/>
    </row>
    <row r="388" spans="2:58" s="141" customFormat="1" x14ac:dyDescent="0.25">
      <c r="B388" s="128"/>
      <c r="C388" s="109"/>
      <c r="D388" s="109"/>
      <c r="E388" s="129"/>
      <c r="F388" s="42"/>
      <c r="G388" s="5"/>
      <c r="H388" s="158"/>
      <c r="I388" s="171"/>
      <c r="J388" s="172"/>
      <c r="K388" s="161"/>
      <c r="L388" s="162"/>
      <c r="M388" s="162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32"/>
      <c r="AX388" s="32"/>
      <c r="AY388" s="32"/>
      <c r="AZ388" s="5"/>
      <c r="BA388" s="5"/>
      <c r="BB388" s="5"/>
      <c r="BC388" s="5"/>
      <c r="BD388" s="5"/>
      <c r="BE388" s="5"/>
      <c r="BF388" s="5"/>
    </row>
    <row r="389" spans="2:58" s="141" customFormat="1" x14ac:dyDescent="0.25">
      <c r="B389" s="128"/>
      <c r="C389" s="109"/>
      <c r="D389" s="109"/>
      <c r="E389" s="129"/>
      <c r="F389" s="42"/>
      <c r="G389" s="5"/>
      <c r="H389" s="158"/>
      <c r="I389" s="171"/>
      <c r="J389" s="172"/>
      <c r="K389" s="161"/>
      <c r="L389" s="162"/>
      <c r="M389" s="162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32"/>
      <c r="AX389" s="32"/>
      <c r="AY389" s="32"/>
      <c r="AZ389" s="5"/>
      <c r="BA389" s="5"/>
      <c r="BB389" s="5"/>
      <c r="BC389" s="5"/>
      <c r="BD389" s="5"/>
      <c r="BE389" s="5"/>
      <c r="BF389" s="5"/>
    </row>
    <row r="390" spans="2:58" s="141" customFormat="1" x14ac:dyDescent="0.25">
      <c r="B390" s="128"/>
      <c r="C390" s="109"/>
      <c r="D390" s="109"/>
      <c r="E390" s="129"/>
      <c r="F390" s="42"/>
      <c r="G390" s="5"/>
      <c r="H390" s="158"/>
      <c r="I390" s="171"/>
      <c r="J390" s="172"/>
      <c r="K390" s="161"/>
      <c r="L390" s="162"/>
      <c r="M390" s="162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32"/>
      <c r="AX390" s="32"/>
      <c r="AY390" s="32"/>
      <c r="AZ390" s="5"/>
      <c r="BA390" s="5"/>
      <c r="BB390" s="5"/>
      <c r="BC390" s="5"/>
      <c r="BD390" s="5"/>
      <c r="BE390" s="5"/>
      <c r="BF390" s="5"/>
    </row>
    <row r="391" spans="2:58" s="141" customFormat="1" x14ac:dyDescent="0.25">
      <c r="B391" s="128"/>
      <c r="C391" s="109"/>
      <c r="D391" s="109"/>
      <c r="E391" s="129"/>
      <c r="F391" s="42"/>
      <c r="G391" s="5"/>
      <c r="H391" s="158"/>
      <c r="I391" s="171"/>
      <c r="J391" s="172"/>
      <c r="K391" s="161"/>
      <c r="L391" s="162"/>
      <c r="M391" s="162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32"/>
      <c r="AX391" s="32"/>
      <c r="AY391" s="32"/>
      <c r="AZ391" s="5"/>
      <c r="BA391" s="5"/>
      <c r="BB391" s="5"/>
      <c r="BC391" s="5"/>
      <c r="BD391" s="5"/>
      <c r="BE391" s="5"/>
      <c r="BF391" s="5"/>
    </row>
    <row r="392" spans="2:58" s="141" customFormat="1" x14ac:dyDescent="0.25">
      <c r="B392" s="128"/>
      <c r="C392" s="109"/>
      <c r="D392" s="109"/>
      <c r="E392" s="129"/>
      <c r="F392" s="42"/>
      <c r="G392" s="5"/>
      <c r="H392" s="158"/>
      <c r="I392" s="171"/>
      <c r="J392" s="172"/>
      <c r="K392" s="161"/>
      <c r="L392" s="162"/>
      <c r="M392" s="162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32"/>
      <c r="AX392" s="32"/>
      <c r="AY392" s="32"/>
      <c r="AZ392" s="5"/>
      <c r="BA392" s="5"/>
      <c r="BB392" s="5"/>
      <c r="BC392" s="5"/>
      <c r="BD392" s="5"/>
      <c r="BE392" s="5"/>
      <c r="BF392" s="5"/>
    </row>
    <row r="393" spans="2:58" s="141" customFormat="1" x14ac:dyDescent="0.25">
      <c r="B393" s="128"/>
      <c r="C393" s="109"/>
      <c r="D393" s="109"/>
      <c r="E393" s="129"/>
      <c r="F393" s="42"/>
      <c r="G393" s="5"/>
      <c r="H393" s="158"/>
      <c r="I393" s="171"/>
      <c r="J393" s="172"/>
      <c r="K393" s="161"/>
      <c r="L393" s="162"/>
      <c r="M393" s="162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32"/>
      <c r="AX393" s="32"/>
      <c r="AY393" s="32"/>
      <c r="AZ393" s="5"/>
      <c r="BA393" s="5"/>
      <c r="BB393" s="5"/>
      <c r="BC393" s="5"/>
      <c r="BD393" s="5"/>
      <c r="BE393" s="5"/>
      <c r="BF393" s="5"/>
    </row>
    <row r="394" spans="2:58" s="141" customFormat="1" x14ac:dyDescent="0.25">
      <c r="B394" s="128"/>
      <c r="C394" s="109"/>
      <c r="D394" s="109"/>
      <c r="E394" s="129"/>
      <c r="F394" s="42"/>
      <c r="G394" s="5"/>
      <c r="H394" s="158"/>
      <c r="I394" s="171"/>
      <c r="J394" s="172"/>
      <c r="K394" s="161"/>
      <c r="L394" s="162"/>
      <c r="M394" s="162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32"/>
      <c r="AX394" s="32"/>
      <c r="AY394" s="32"/>
      <c r="AZ394" s="5"/>
      <c r="BA394" s="5"/>
      <c r="BB394" s="5"/>
      <c r="BC394" s="5"/>
      <c r="BD394" s="5"/>
      <c r="BE394" s="5"/>
      <c r="BF394" s="5"/>
    </row>
    <row r="395" spans="2:58" s="141" customFormat="1" x14ac:dyDescent="0.25">
      <c r="B395" s="128"/>
      <c r="C395" s="109"/>
      <c r="D395" s="109"/>
      <c r="E395" s="129"/>
      <c r="F395" s="42"/>
      <c r="G395" s="5"/>
      <c r="H395" s="158"/>
      <c r="I395" s="171"/>
      <c r="J395" s="172"/>
      <c r="K395" s="161"/>
      <c r="L395" s="162"/>
      <c r="M395" s="162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32"/>
      <c r="AX395" s="32"/>
      <c r="AY395" s="32"/>
      <c r="AZ395" s="5"/>
      <c r="BA395" s="5"/>
      <c r="BB395" s="5"/>
      <c r="BC395" s="5"/>
      <c r="BD395" s="5"/>
      <c r="BE395" s="5"/>
      <c r="BF395" s="5"/>
    </row>
    <row r="396" spans="2:58" s="141" customFormat="1" x14ac:dyDescent="0.25">
      <c r="B396" s="128"/>
      <c r="C396" s="109"/>
      <c r="D396" s="109"/>
      <c r="E396" s="129"/>
      <c r="F396" s="42"/>
      <c r="G396" s="5"/>
      <c r="H396" s="158"/>
      <c r="I396" s="171"/>
      <c r="J396" s="172"/>
      <c r="K396" s="161"/>
      <c r="L396" s="162"/>
      <c r="M396" s="162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32"/>
      <c r="AX396" s="32"/>
      <c r="AY396" s="32"/>
      <c r="AZ396" s="5"/>
      <c r="BA396" s="5"/>
      <c r="BB396" s="5"/>
      <c r="BC396" s="5"/>
      <c r="BD396" s="5"/>
      <c r="BE396" s="5"/>
      <c r="BF396" s="5"/>
    </row>
    <row r="397" spans="2:58" s="141" customFormat="1" x14ac:dyDescent="0.25">
      <c r="B397" s="128"/>
      <c r="C397" s="109"/>
      <c r="D397" s="109"/>
      <c r="E397" s="129"/>
      <c r="F397" s="42"/>
      <c r="G397" s="5"/>
      <c r="H397" s="158"/>
      <c r="I397" s="171"/>
      <c r="J397" s="172"/>
      <c r="K397" s="161"/>
      <c r="L397" s="162"/>
      <c r="M397" s="162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32"/>
      <c r="AX397" s="32"/>
      <c r="AY397" s="32"/>
      <c r="AZ397" s="5"/>
      <c r="BA397" s="5"/>
      <c r="BB397" s="5"/>
      <c r="BC397" s="5"/>
      <c r="BD397" s="5"/>
      <c r="BE397" s="5"/>
      <c r="BF397" s="5"/>
    </row>
  </sheetData>
  <sortState ref="A4:CJ45">
    <sortCondition ref="C4:C45"/>
  </sortState>
  <mergeCells count="6">
    <mergeCell ref="AO54:AW54"/>
    <mergeCell ref="AF54:AN54"/>
    <mergeCell ref="N1:Q1"/>
    <mergeCell ref="R1:AC1"/>
    <mergeCell ref="AE1:AP1"/>
    <mergeCell ref="AR1:AV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64" workbookViewId="0">
      <selection activeCell="F71" activeCellId="4" sqref="F53:G54 F56:H57 H59:H60 H65:J66 F71:G72"/>
    </sheetView>
  </sheetViews>
  <sheetFormatPr defaultRowHeight="12.75" x14ac:dyDescent="0.2"/>
  <sheetData>
    <row r="1" spans="1:14" ht="15" x14ac:dyDescent="0.25">
      <c r="A1" s="30" t="s">
        <v>64</v>
      </c>
      <c r="B1" s="60" t="s">
        <v>95</v>
      </c>
      <c r="C1" s="17" t="s">
        <v>130</v>
      </c>
      <c r="D1" s="17" t="s">
        <v>131</v>
      </c>
      <c r="E1" s="87" t="s">
        <v>29</v>
      </c>
      <c r="F1" s="144" t="s">
        <v>38</v>
      </c>
      <c r="G1" s="145" t="s">
        <v>39</v>
      </c>
      <c r="H1" s="145" t="s">
        <v>40</v>
      </c>
      <c r="I1" s="80" t="s">
        <v>41</v>
      </c>
      <c r="J1" s="144" t="s">
        <v>97</v>
      </c>
      <c r="K1" s="145" t="s">
        <v>98</v>
      </c>
      <c r="L1" s="145" t="s">
        <v>42</v>
      </c>
      <c r="M1" s="54" t="s">
        <v>34</v>
      </c>
      <c r="N1" s="16" t="s">
        <v>135</v>
      </c>
    </row>
    <row r="2" spans="1:14" x14ac:dyDescent="0.2">
      <c r="A2" s="152" t="s">
        <v>103</v>
      </c>
      <c r="B2">
        <v>2.9512092266663778E-2</v>
      </c>
      <c r="C2">
        <v>4.9709489993544222E-2</v>
      </c>
      <c r="D2">
        <v>3.8500000000000005</v>
      </c>
      <c r="E2">
        <v>4.6470000000000002</v>
      </c>
      <c r="F2">
        <v>464.1344049527238</v>
      </c>
      <c r="G2">
        <v>150.9570562913604</v>
      </c>
      <c r="H2">
        <v>535.55439243163823</v>
      </c>
      <c r="I2">
        <v>31.34580972580056</v>
      </c>
      <c r="J2">
        <v>140.95367723979746</v>
      </c>
      <c r="K2">
        <v>20.094584251107008</v>
      </c>
      <c r="L2">
        <v>466.43887578643898</v>
      </c>
      <c r="M2">
        <v>1.8425905167319754</v>
      </c>
      <c r="N2">
        <v>110.79899835272064</v>
      </c>
    </row>
    <row r="3" spans="1:14" x14ac:dyDescent="0.2">
      <c r="A3" s="152" t="s">
        <v>103</v>
      </c>
      <c r="B3">
        <v>0.1659586907437556</v>
      </c>
      <c r="C3">
        <v>5.2655064703257468E-2</v>
      </c>
      <c r="D3">
        <v>8.4285714285714288</v>
      </c>
      <c r="E3">
        <v>2.2410000000000001</v>
      </c>
      <c r="F3">
        <v>225.99481012026547</v>
      </c>
      <c r="G3">
        <v>63.006581112207954</v>
      </c>
      <c r="H3">
        <v>160.77163984341018</v>
      </c>
      <c r="I3">
        <v>0.01</v>
      </c>
      <c r="J3">
        <v>95.274303450470228</v>
      </c>
      <c r="K3">
        <v>10.48281447410357</v>
      </c>
      <c r="L3">
        <v>217.88788894383362</v>
      </c>
      <c r="M3">
        <v>3.5841136583790769</v>
      </c>
      <c r="N3">
        <v>229.5822572354603</v>
      </c>
    </row>
    <row r="4" spans="1:14" x14ac:dyDescent="0.2">
      <c r="A4" s="152" t="s">
        <v>103</v>
      </c>
      <c r="B4">
        <v>9.5499258602143561E-2</v>
      </c>
      <c r="C4">
        <v>3.3671833244254407E-2</v>
      </c>
      <c r="D4">
        <v>9.9473684210526319</v>
      </c>
      <c r="E4">
        <v>5.6130000000000004</v>
      </c>
      <c r="F4">
        <v>204.55112530565398</v>
      </c>
      <c r="G4">
        <v>65.391576176373817</v>
      </c>
      <c r="H4">
        <v>128.01217920835148</v>
      </c>
      <c r="I4">
        <v>15.045266226791471</v>
      </c>
      <c r="J4">
        <v>70.088521593686067</v>
      </c>
      <c r="K4">
        <v>9.0758243529633358</v>
      </c>
      <c r="L4">
        <v>123.48485939560162</v>
      </c>
      <c r="M4">
        <v>1.3561511139812723</v>
      </c>
      <c r="N4">
        <v>208.47549925860213</v>
      </c>
    </row>
    <row r="5" spans="1:14" x14ac:dyDescent="0.2">
      <c r="A5" s="152" t="s">
        <v>150</v>
      </c>
      <c r="B5">
        <v>0.14791083881682041</v>
      </c>
      <c r="C5">
        <v>4.371995192307692E-2</v>
      </c>
      <c r="D5">
        <v>7.8648648648648649</v>
      </c>
      <c r="E5">
        <v>6.6559999999999997</v>
      </c>
      <c r="F5">
        <v>302.83286164202235</v>
      </c>
      <c r="G5">
        <v>45.159627849685336</v>
      </c>
      <c r="H5">
        <v>71.458731811447109</v>
      </c>
      <c r="I5">
        <v>12.13176030390896</v>
      </c>
      <c r="J5">
        <v>62.050279145016773</v>
      </c>
      <c r="K5">
        <v>21.301952464071096</v>
      </c>
      <c r="L5">
        <v>74.084981268839016</v>
      </c>
      <c r="M5">
        <v>6.3125315654440697E-2</v>
      </c>
      <c r="N5">
        <v>210.30078665581024</v>
      </c>
    </row>
    <row r="6" spans="1:14" x14ac:dyDescent="0.2">
      <c r="A6" s="152" t="s">
        <v>105</v>
      </c>
      <c r="B6">
        <v>3.5481338923357426E-2</v>
      </c>
      <c r="C6">
        <v>5.4542844839959817E-2</v>
      </c>
      <c r="D6">
        <v>16.521739130434781</v>
      </c>
      <c r="E6">
        <v>6.9669999999999996</v>
      </c>
      <c r="F6">
        <v>1161.8206334519548</v>
      </c>
      <c r="G6">
        <v>293.9822340860153</v>
      </c>
      <c r="H6">
        <v>853.1137092147718</v>
      </c>
      <c r="I6">
        <v>77.580352159784766</v>
      </c>
      <c r="J6">
        <v>370.80521221449959</v>
      </c>
      <c r="K6">
        <v>68.476355922041535</v>
      </c>
      <c r="L6">
        <v>881.5829104718398</v>
      </c>
      <c r="M6">
        <v>0.13831398612250556</v>
      </c>
      <c r="N6">
        <v>710.70463796542924</v>
      </c>
    </row>
    <row r="7" spans="1:14" x14ac:dyDescent="0.2">
      <c r="A7" s="152" t="s">
        <v>105</v>
      </c>
      <c r="B7">
        <v>3.0199517204020188E-2</v>
      </c>
      <c r="C7">
        <v>4.0058418527018566E-2</v>
      </c>
      <c r="D7">
        <v>11.294117647058822</v>
      </c>
      <c r="E7">
        <v>4.7930000000000001</v>
      </c>
      <c r="F7">
        <v>902.83946304705808</v>
      </c>
      <c r="G7">
        <v>231.94389601842713</v>
      </c>
      <c r="H7">
        <v>793.64941278816877</v>
      </c>
      <c r="I7">
        <v>44.33967571991203</v>
      </c>
      <c r="J7">
        <v>408.94083080047886</v>
      </c>
      <c r="K7">
        <v>54.388255320920337</v>
      </c>
      <c r="L7">
        <v>945.32152930440861</v>
      </c>
      <c r="M7">
        <v>3.1966419115272844</v>
      </c>
      <c r="N7">
        <v>834.05062521887896</v>
      </c>
    </row>
    <row r="8" spans="1:14" x14ac:dyDescent="0.2">
      <c r="A8" s="152" t="s">
        <v>105</v>
      </c>
      <c r="B8">
        <v>5.3703179637025193E-2</v>
      </c>
      <c r="C8">
        <v>3.3700367033700371E-2</v>
      </c>
      <c r="D8">
        <v>9.7741935483870961</v>
      </c>
      <c r="E8">
        <v>8.9909999999999997</v>
      </c>
      <c r="F8">
        <v>813.81306452417778</v>
      </c>
      <c r="G8">
        <v>217.58802237578152</v>
      </c>
      <c r="H8">
        <v>564.46280991735546</v>
      </c>
      <c r="I8">
        <v>60.585136310163172</v>
      </c>
      <c r="J8">
        <v>330.52531380932891</v>
      </c>
      <c r="K8">
        <v>61.982730408513916</v>
      </c>
      <c r="L8">
        <v>669.51847957621862</v>
      </c>
      <c r="M8">
        <v>1.5498869874071683</v>
      </c>
      <c r="N8">
        <v>778.43370317963706</v>
      </c>
    </row>
    <row r="9" spans="1:14" x14ac:dyDescent="0.2">
      <c r="A9" s="152" t="s">
        <v>145</v>
      </c>
      <c r="B9">
        <v>4.1686938347033513E-2</v>
      </c>
      <c r="C9">
        <v>2.4749272080232931E-2</v>
      </c>
      <c r="D9">
        <v>12.75</v>
      </c>
      <c r="E9">
        <v>6.1820000000000004</v>
      </c>
      <c r="F9">
        <v>1045.8106691950695</v>
      </c>
      <c r="G9">
        <v>238.9766370516617</v>
      </c>
      <c r="H9">
        <v>860.46107003044801</v>
      </c>
      <c r="I9">
        <v>76.870748299319729</v>
      </c>
      <c r="J9">
        <v>406.78405897163742</v>
      </c>
      <c r="K9">
        <v>2.5348300440324674</v>
      </c>
      <c r="L9">
        <v>983.98646201666702</v>
      </c>
      <c r="M9">
        <v>0.96867936712948011</v>
      </c>
      <c r="N9">
        <v>1128.4216869383472</v>
      </c>
    </row>
    <row r="10" spans="1:14" x14ac:dyDescent="0.2">
      <c r="A10" s="152" t="s">
        <v>106</v>
      </c>
      <c r="B10">
        <v>3.9810717055349568E-2</v>
      </c>
      <c r="C10">
        <v>2.5393883225208531E-2</v>
      </c>
      <c r="D10">
        <v>274</v>
      </c>
      <c r="E10">
        <v>5.3949999999999996</v>
      </c>
      <c r="F10">
        <v>1406.1542349102774</v>
      </c>
      <c r="G10">
        <v>309.40234884165022</v>
      </c>
      <c r="H10">
        <v>1177.6737437304007</v>
      </c>
      <c r="I10">
        <v>101.38439282045911</v>
      </c>
      <c r="J10">
        <v>443.39337188307553</v>
      </c>
      <c r="K10">
        <v>16.543371533261933</v>
      </c>
      <c r="L10">
        <v>1182.8447303508256</v>
      </c>
      <c r="M10">
        <v>0.68969756955498118</v>
      </c>
      <c r="N10">
        <v>1042.613873279319</v>
      </c>
    </row>
    <row r="11" spans="1:14" x14ac:dyDescent="0.2">
      <c r="A11" s="152" t="s">
        <v>106</v>
      </c>
      <c r="B11">
        <v>4.0738027780411253E-2</v>
      </c>
      <c r="C11">
        <v>3.2934131736526949E-2</v>
      </c>
      <c r="D11">
        <v>8.25</v>
      </c>
      <c r="E11">
        <v>4.008</v>
      </c>
      <c r="F11">
        <v>1112.7850691152253</v>
      </c>
      <c r="G11">
        <v>251.12948338269163</v>
      </c>
      <c r="H11">
        <v>1099.4649847759897</v>
      </c>
      <c r="I11">
        <v>70.885888189862428</v>
      </c>
      <c r="J11">
        <v>491.10600886402187</v>
      </c>
      <c r="K11">
        <v>6.389267685656896</v>
      </c>
      <c r="L11">
        <v>1247.732492612043</v>
      </c>
      <c r="M11">
        <v>3.5841136583790769</v>
      </c>
      <c r="N11">
        <v>1163.1153180240428</v>
      </c>
    </row>
    <row r="12" spans="1:14" x14ac:dyDescent="0.2">
      <c r="A12" s="152" t="s">
        <v>109</v>
      </c>
      <c r="B12">
        <v>5.8884365535558779E-2</v>
      </c>
      <c r="C12">
        <v>1.4644351464435146E-2</v>
      </c>
      <c r="D12">
        <v>9.3333333333333339</v>
      </c>
      <c r="E12">
        <v>1.9119999999999999</v>
      </c>
      <c r="F12">
        <v>382.74455972646592</v>
      </c>
      <c r="G12">
        <v>95.210197859841514</v>
      </c>
      <c r="H12">
        <v>83.828499120810321</v>
      </c>
      <c r="I12">
        <v>14.228605847811668</v>
      </c>
      <c r="J12">
        <v>177.2117085205779</v>
      </c>
      <c r="K12">
        <v>13.977359362543515</v>
      </c>
      <c r="L12">
        <v>76.051344573766841</v>
      </c>
      <c r="M12" s="72">
        <v>0.01</v>
      </c>
      <c r="N12">
        <v>196.80765050898876</v>
      </c>
    </row>
    <row r="13" spans="1:14" x14ac:dyDescent="0.2">
      <c r="A13" s="152" t="s">
        <v>109</v>
      </c>
      <c r="B13">
        <v>0.31622776601683733</v>
      </c>
      <c r="C13">
        <v>3.5961640916355883E-2</v>
      </c>
      <c r="D13">
        <v>13.5</v>
      </c>
      <c r="E13">
        <v>0.75080000000000002</v>
      </c>
      <c r="F13">
        <v>273.70327860671688</v>
      </c>
      <c r="G13">
        <v>76.878331688055269</v>
      </c>
      <c r="H13">
        <v>36.90561113527621</v>
      </c>
      <c r="I13" s="72">
        <v>0.01</v>
      </c>
      <c r="J13">
        <v>185.48294851499756</v>
      </c>
      <c r="K13">
        <v>5.9007640202410734</v>
      </c>
      <c r="L13">
        <v>81.512896621800195</v>
      </c>
      <c r="M13">
        <v>2.9060381013884404</v>
      </c>
      <c r="N13">
        <v>243.13484915806131</v>
      </c>
    </row>
    <row r="14" spans="1:14" x14ac:dyDescent="0.2">
      <c r="A14" s="152" t="s">
        <v>109</v>
      </c>
      <c r="B14">
        <v>3.4673685045253172E-2</v>
      </c>
      <c r="C14">
        <v>1.6136261766024205E-2</v>
      </c>
      <c r="D14">
        <v>18</v>
      </c>
      <c r="E14">
        <v>2.2309999999999999</v>
      </c>
      <c r="F14">
        <v>275.81216627576225</v>
      </c>
      <c r="G14">
        <v>92.300098716683124</v>
      </c>
      <c r="H14">
        <v>80.991735537190095</v>
      </c>
      <c r="I14">
        <v>13.249961638790856</v>
      </c>
      <c r="J14">
        <v>157.31457183503733</v>
      </c>
      <c r="K14">
        <v>3.4001028395335209</v>
      </c>
      <c r="L14">
        <v>69.382641796524268</v>
      </c>
      <c r="M14">
        <v>0.77494349370358417</v>
      </c>
      <c r="N14">
        <v>238.41467368504524</v>
      </c>
    </row>
    <row r="15" spans="1:14" x14ac:dyDescent="0.2">
      <c r="A15" s="152" t="s">
        <v>151</v>
      </c>
      <c r="B15">
        <v>0.25118864315095779</v>
      </c>
      <c r="C15">
        <v>4.2061792597124503E-2</v>
      </c>
      <c r="D15">
        <v>7.8571428571428568</v>
      </c>
      <c r="E15">
        <v>6.5380000000000003</v>
      </c>
      <c r="F15">
        <v>421.74089610535339</v>
      </c>
      <c r="G15">
        <v>73.826619404587504</v>
      </c>
      <c r="H15">
        <v>117.0823156054133</v>
      </c>
      <c r="I15">
        <v>15.541342350423452</v>
      </c>
      <c r="J15">
        <v>98.831544636916732</v>
      </c>
      <c r="K15">
        <v>22.580694820869834</v>
      </c>
      <c r="L15">
        <v>104.5369364671419</v>
      </c>
      <c r="M15">
        <v>0.13831398612250556</v>
      </c>
      <c r="N15">
        <v>315.150491258344</v>
      </c>
    </row>
    <row r="16" spans="1:14" x14ac:dyDescent="0.2">
      <c r="A16" s="152" t="s">
        <v>110</v>
      </c>
      <c r="B16">
        <v>0.20892961308540389</v>
      </c>
      <c r="C16">
        <v>3.6637446617217358E-2</v>
      </c>
      <c r="D16">
        <v>9.0555555555555571</v>
      </c>
      <c r="E16">
        <v>4.4489999999999998</v>
      </c>
      <c r="F16">
        <v>129.26137519727158</v>
      </c>
      <c r="G16">
        <v>15.522682527521889</v>
      </c>
      <c r="H16">
        <v>44.38033029698353</v>
      </c>
      <c r="I16">
        <v>8.3033173846536528</v>
      </c>
      <c r="J16">
        <v>42.876114277136558</v>
      </c>
      <c r="K16">
        <v>19.495707505041018</v>
      </c>
      <c r="L16">
        <v>45.668162762036026</v>
      </c>
      <c r="M16">
        <v>1.2999535342397457E-2</v>
      </c>
      <c r="N16">
        <v>80.275484903459301</v>
      </c>
    </row>
    <row r="17" spans="1:14" x14ac:dyDescent="0.2">
      <c r="A17" s="152" t="s">
        <v>110</v>
      </c>
      <c r="B17">
        <v>7.5857757502918149E-2</v>
      </c>
      <c r="C17">
        <v>5.1103843008994274E-2</v>
      </c>
      <c r="D17">
        <v>10.416666666666666</v>
      </c>
      <c r="E17">
        <v>2.4460000000000002</v>
      </c>
      <c r="F17">
        <v>95.741304456310189</v>
      </c>
      <c r="G17">
        <v>25.508144126357351</v>
      </c>
      <c r="H17">
        <v>5.6416702914310575</v>
      </c>
      <c r="I17" s="72">
        <v>0.01</v>
      </c>
      <c r="J17">
        <v>42.559375099538507</v>
      </c>
      <c r="K17">
        <v>8.4695265974434051</v>
      </c>
      <c r="L17">
        <v>51.583306216027864</v>
      </c>
      <c r="M17">
        <v>3.4872457216661288</v>
      </c>
      <c r="N17">
        <v>99.856999976865978</v>
      </c>
    </row>
    <row r="18" spans="1:14" x14ac:dyDescent="0.2">
      <c r="A18" s="152" t="s">
        <v>110</v>
      </c>
      <c r="B18">
        <v>0.15488166189124805</v>
      </c>
      <c r="C18">
        <v>3.528336380255942E-2</v>
      </c>
      <c r="D18">
        <v>10.157894736842106</v>
      </c>
      <c r="E18">
        <v>5.47</v>
      </c>
      <c r="F18">
        <v>107.49039373222216</v>
      </c>
      <c r="G18">
        <v>43.279039157617639</v>
      </c>
      <c r="H18">
        <v>64.071335363201413</v>
      </c>
      <c r="I18">
        <v>10.631169761137539</v>
      </c>
      <c r="J18">
        <v>36.48013458885567</v>
      </c>
      <c r="K18">
        <v>7.2860873576819589</v>
      </c>
      <c r="L18">
        <v>48.675016258210107</v>
      </c>
      <c r="M18">
        <v>0.58120762027768813</v>
      </c>
      <c r="N18">
        <v>81.534881661891248</v>
      </c>
    </row>
    <row r="19" spans="1:14" x14ac:dyDescent="0.2">
      <c r="A19" s="152" t="s">
        <v>111</v>
      </c>
      <c r="B19">
        <v>1.5848931924611134E-2</v>
      </c>
      <c r="C19">
        <v>2.0987174504469491E-2</v>
      </c>
      <c r="D19">
        <v>14.727272727272728</v>
      </c>
      <c r="E19">
        <v>7.7190000000000003</v>
      </c>
      <c r="F19">
        <v>1569.5513103341766</v>
      </c>
      <c r="G19">
        <v>389.151183090291</v>
      </c>
      <c r="H19">
        <v>688.4013599815454</v>
      </c>
      <c r="I19">
        <v>63.287763042585624</v>
      </c>
      <c r="J19">
        <v>149.72092421819798</v>
      </c>
      <c r="K19">
        <v>13.778463794285559</v>
      </c>
      <c r="L19">
        <v>374.51644392192884</v>
      </c>
      <c r="M19">
        <v>1.2999535342397457E-2</v>
      </c>
      <c r="N19">
        <v>1500.9347710876136</v>
      </c>
    </row>
    <row r="20" spans="1:14" x14ac:dyDescent="0.2">
      <c r="A20" s="152" t="s">
        <v>111</v>
      </c>
      <c r="B20">
        <v>5.3703179637025322E-3</v>
      </c>
      <c r="C20">
        <v>2.5337014779925289E-2</v>
      </c>
      <c r="D20">
        <v>14.181818181818183</v>
      </c>
      <c r="E20">
        <v>6.157</v>
      </c>
      <c r="F20">
        <v>1149.4086531264034</v>
      </c>
      <c r="G20">
        <v>308.51678183613029</v>
      </c>
      <c r="H20">
        <v>565.77642453240537</v>
      </c>
      <c r="I20">
        <v>30.132729783642784</v>
      </c>
      <c r="J20">
        <v>168.43158996374322</v>
      </c>
      <c r="K20">
        <v>3.2254578940662864</v>
      </c>
      <c r="L20">
        <v>407.19831325594726</v>
      </c>
      <c r="M20">
        <v>4.1653212786567648</v>
      </c>
      <c r="N20">
        <v>1721.5661790486645</v>
      </c>
    </row>
    <row r="21" spans="1:14" x14ac:dyDescent="0.2">
      <c r="A21" s="152" t="s">
        <v>111</v>
      </c>
      <c r="B21">
        <v>1.4791083881682026E-2</v>
      </c>
      <c r="C21">
        <v>2.1242937853107345E-2</v>
      </c>
      <c r="D21">
        <v>15.666666666666666</v>
      </c>
      <c r="E21">
        <v>8.85</v>
      </c>
      <c r="F21">
        <v>1133.9887219921152</v>
      </c>
      <c r="G21">
        <v>287.5123395853899</v>
      </c>
      <c r="H21">
        <v>422.00956937799043</v>
      </c>
      <c r="I21">
        <v>43.757352565086194</v>
      </c>
      <c r="J21">
        <v>152.86881727175142</v>
      </c>
      <c r="K21">
        <v>0.80636447351657159</v>
      </c>
      <c r="L21">
        <v>336.93750469142407</v>
      </c>
      <c r="M21">
        <v>0.67807555699063615</v>
      </c>
      <c r="N21">
        <v>1748.3947910838817</v>
      </c>
    </row>
    <row r="22" spans="1:14" x14ac:dyDescent="0.2">
      <c r="A22" s="152" t="s">
        <v>125</v>
      </c>
      <c r="B22">
        <v>0.41686938347033492</v>
      </c>
      <c r="C22">
        <v>6.3306615948919995E-2</v>
      </c>
      <c r="D22">
        <v>7.0606060606060606</v>
      </c>
      <c r="E22">
        <v>7.3609999999999998</v>
      </c>
      <c r="F22">
        <v>251.67722940266481</v>
      </c>
      <c r="G22">
        <v>82.999341888779199</v>
      </c>
      <c r="H22">
        <v>67.407133536320146</v>
      </c>
      <c r="I22" s="72">
        <v>0.01</v>
      </c>
      <c r="J22">
        <v>100.10462210786241</v>
      </c>
      <c r="K22">
        <v>6.7958665448952162</v>
      </c>
      <c r="L22">
        <v>95.127004575057242</v>
      </c>
      <c r="M22">
        <v>3.4872457216661288</v>
      </c>
      <c r="N22">
        <v>233.47214307634141</v>
      </c>
    </row>
    <row r="23" spans="1:14" x14ac:dyDescent="0.2">
      <c r="A23" s="152" t="s">
        <v>124</v>
      </c>
      <c r="B23">
        <v>0.25118864315095779</v>
      </c>
      <c r="C23">
        <v>5.4794520547945209E-2</v>
      </c>
      <c r="D23">
        <v>7.7777777777777795</v>
      </c>
      <c r="E23">
        <v>10.220000000000001</v>
      </c>
      <c r="F23">
        <v>143.6952941763561</v>
      </c>
      <c r="G23">
        <v>53.827739387956562</v>
      </c>
      <c r="H23">
        <v>45.622009569377994</v>
      </c>
      <c r="I23" s="72">
        <v>0.01</v>
      </c>
      <c r="J23">
        <v>49.480821892211871</v>
      </c>
      <c r="K23">
        <v>5.0734023127262207</v>
      </c>
      <c r="L23">
        <v>89.938726490472519</v>
      </c>
      <c r="M23">
        <v>3.8747174685179204</v>
      </c>
      <c r="N23">
        <v>299.15707062650324</v>
      </c>
    </row>
    <row r="24" spans="1:14" x14ac:dyDescent="0.2">
      <c r="A24" s="152" t="s">
        <v>146</v>
      </c>
      <c r="B24">
        <v>2.7542287033381663</v>
      </c>
      <c r="C24">
        <v>4.4159999999999998E-2</v>
      </c>
      <c r="D24">
        <v>7.2631578947368416</v>
      </c>
      <c r="E24">
        <v>18.75</v>
      </c>
      <c r="F24">
        <v>153.15135485802682</v>
      </c>
      <c r="G24">
        <v>54.647910496873969</v>
      </c>
      <c r="H24">
        <v>80.382775119617236</v>
      </c>
      <c r="I24">
        <v>10.482839752442331</v>
      </c>
      <c r="J24">
        <v>55.773810588538126</v>
      </c>
      <c r="K24">
        <v>2.3302985056023502</v>
      </c>
      <c r="L24">
        <v>66.784560978286862</v>
      </c>
      <c r="M24">
        <v>0.96867936712948011</v>
      </c>
      <c r="N24">
        <v>101.13422870333817</v>
      </c>
    </row>
    <row r="25" spans="1:14" x14ac:dyDescent="0.2">
      <c r="A25" s="152" t="s">
        <v>107</v>
      </c>
      <c r="B25">
        <v>0.56234132519034874</v>
      </c>
      <c r="C25">
        <v>4.4406377651864538E-2</v>
      </c>
      <c r="D25">
        <v>7.6590909090909101</v>
      </c>
      <c r="E25">
        <v>7.5890000000000004</v>
      </c>
      <c r="F25">
        <v>271.88352409040209</v>
      </c>
      <c r="G25">
        <v>64.691693571866722</v>
      </c>
      <c r="H25">
        <v>333.11188064302786</v>
      </c>
      <c r="I25">
        <v>20.323223684205537</v>
      </c>
      <c r="J25">
        <v>55.571750129536277</v>
      </c>
      <c r="K25">
        <v>12.372140543229138</v>
      </c>
      <c r="L25">
        <v>309.12904511492502</v>
      </c>
      <c r="M25">
        <v>6.3125315654440697E-2</v>
      </c>
      <c r="N25">
        <v>190.72396207725149</v>
      </c>
    </row>
    <row r="26" spans="1:14" x14ac:dyDescent="0.2">
      <c r="A26" s="152" t="s">
        <v>107</v>
      </c>
      <c r="B26">
        <v>0.40738027780411229</v>
      </c>
      <c r="C26">
        <v>5.1406597854685286E-2</v>
      </c>
      <c r="D26">
        <v>7.6969696969696964</v>
      </c>
      <c r="E26">
        <v>4.9409999999999998</v>
      </c>
      <c r="F26">
        <v>245.22930285942414</v>
      </c>
      <c r="G26">
        <v>74.392810134912793</v>
      </c>
      <c r="H26">
        <v>327.62374945628534</v>
      </c>
      <c r="I26" s="72">
        <v>0.01</v>
      </c>
      <c r="J26">
        <v>55.60187943892879</v>
      </c>
      <c r="K26">
        <v>5.3178850800380157</v>
      </c>
      <c r="L26">
        <v>374.0111189074662</v>
      </c>
      <c r="M26">
        <v>3.971585405230869</v>
      </c>
      <c r="N26">
        <v>962.2382365612599</v>
      </c>
    </row>
    <row r="27" spans="1:14" x14ac:dyDescent="0.2">
      <c r="A27" s="152" t="s">
        <v>107</v>
      </c>
      <c r="B27">
        <v>0.61659500186148142</v>
      </c>
      <c r="C27">
        <v>3.9713639788997744E-2</v>
      </c>
      <c r="D27">
        <v>8.234375</v>
      </c>
      <c r="E27">
        <v>13.27</v>
      </c>
      <c r="F27">
        <v>185.93742202704723</v>
      </c>
      <c r="G27">
        <v>69.151036525172756</v>
      </c>
      <c r="H27">
        <v>192.30100043497174</v>
      </c>
      <c r="I27">
        <v>19.794383918981129</v>
      </c>
      <c r="J27">
        <v>59.436735615443951</v>
      </c>
      <c r="K27">
        <v>4.4001622629960915</v>
      </c>
      <c r="L27">
        <v>178.11220590938063</v>
      </c>
      <c r="M27">
        <v>2.2279625443978044</v>
      </c>
      <c r="N27">
        <v>198.99659500186146</v>
      </c>
    </row>
    <row r="28" spans="1:14" x14ac:dyDescent="0.2">
      <c r="A28" s="152" t="s">
        <v>144</v>
      </c>
      <c r="B28">
        <v>1.5135612484362029E-2</v>
      </c>
      <c r="C28">
        <v>1.1695906432748538E-3</v>
      </c>
      <c r="D28">
        <v>4</v>
      </c>
      <c r="E28">
        <v>1.71</v>
      </c>
      <c r="F28">
        <v>1193.6723389390688</v>
      </c>
      <c r="G28">
        <v>182.13228035538003</v>
      </c>
      <c r="H28">
        <v>61.983471074380176</v>
      </c>
      <c r="I28">
        <v>55.958774487238507</v>
      </c>
      <c r="J28">
        <v>131.62099589917275</v>
      </c>
      <c r="K28">
        <v>2.3286925372691916</v>
      </c>
      <c r="L28">
        <v>17.645788167612437</v>
      </c>
      <c r="M28">
        <v>0.58120762027768813</v>
      </c>
      <c r="N28">
        <v>1608.3951356124844</v>
      </c>
    </row>
    <row r="29" spans="1:14" x14ac:dyDescent="0.2">
      <c r="A29" s="225" t="s">
        <v>108</v>
      </c>
      <c r="B29">
        <v>5.2480746024977189E-2</v>
      </c>
      <c r="C29">
        <v>3.9568345323741004E-2</v>
      </c>
      <c r="D29">
        <v>6.53125</v>
      </c>
      <c r="E29">
        <v>5.282</v>
      </c>
      <c r="F29">
        <v>1654.531163637108</v>
      </c>
      <c r="G29">
        <v>466.97046234872317</v>
      </c>
      <c r="H29">
        <v>865.37209221349849</v>
      </c>
      <c r="I29">
        <v>93.762091824651847</v>
      </c>
      <c r="J29">
        <v>392.22092432931862</v>
      </c>
      <c r="K29">
        <v>38.364176324307188</v>
      </c>
      <c r="L29">
        <v>709.07492764518429</v>
      </c>
      <c r="M29">
        <v>2.9704205737529485</v>
      </c>
      <c r="N29">
        <v>1345.4488349542421</v>
      </c>
    </row>
    <row r="30" spans="1:14" x14ac:dyDescent="0.2">
      <c r="A30" s="225" t="s">
        <v>108</v>
      </c>
      <c r="B30">
        <v>7.7624711662868925E-2</v>
      </c>
      <c r="C30">
        <v>4.9142327306444133E-2</v>
      </c>
      <c r="D30">
        <v>6.838709677419355</v>
      </c>
      <c r="E30">
        <v>4.3140000000000001</v>
      </c>
      <c r="F30">
        <v>1421.3184290633264</v>
      </c>
      <c r="G30">
        <v>433.53158933859822</v>
      </c>
      <c r="H30">
        <v>695.06742061765988</v>
      </c>
      <c r="I30">
        <v>66.466165413533844</v>
      </c>
      <c r="J30">
        <v>369.33701827198752</v>
      </c>
      <c r="K30">
        <v>19.673549839476511</v>
      </c>
      <c r="L30">
        <v>586.70436538593685</v>
      </c>
      <c r="M30">
        <v>5.230868582499193</v>
      </c>
      <c r="N30">
        <v>1944.3693087861907</v>
      </c>
    </row>
    <row r="31" spans="1:14" x14ac:dyDescent="0.2">
      <c r="A31" s="152" t="s">
        <v>108</v>
      </c>
      <c r="B31">
        <v>4.3651583224016563E-2</v>
      </c>
      <c r="C31">
        <v>3.0033557046979863E-2</v>
      </c>
      <c r="D31">
        <v>9.9444444444444446</v>
      </c>
      <c r="E31">
        <v>5.96</v>
      </c>
      <c r="F31">
        <v>1206.0981086880581</v>
      </c>
      <c r="G31">
        <v>319.84205330700888</v>
      </c>
      <c r="H31">
        <v>391.43105698129625</v>
      </c>
      <c r="I31">
        <v>69.51051097130582</v>
      </c>
      <c r="J31">
        <v>216.62097908431423</v>
      </c>
      <c r="K31">
        <v>26.028999637903688</v>
      </c>
      <c r="L31">
        <v>429.55169537215397</v>
      </c>
      <c r="M31">
        <v>6.4901517597675173</v>
      </c>
      <c r="N31">
        <v>1608.4236515832242</v>
      </c>
    </row>
    <row r="32" spans="1:14" x14ac:dyDescent="0.2">
      <c r="A32" s="152" t="s">
        <v>104</v>
      </c>
      <c r="B32">
        <v>4.1686938347033513E-2</v>
      </c>
      <c r="C32">
        <v>3.2924187725631771E-2</v>
      </c>
      <c r="D32">
        <v>0.81428571428571428</v>
      </c>
      <c r="E32">
        <v>6.9249999999999998</v>
      </c>
      <c r="F32">
        <v>1249.3275662977035</v>
      </c>
      <c r="G32">
        <v>453.49622774933027</v>
      </c>
      <c r="H32">
        <v>914.75789999890128</v>
      </c>
      <c r="I32">
        <v>124.90022645860535</v>
      </c>
      <c r="J32">
        <v>279.4694203037501</v>
      </c>
      <c r="K32">
        <v>113.02145967011192</v>
      </c>
      <c r="L32">
        <v>983.78169547252264</v>
      </c>
      <c r="M32">
        <v>0.51425733846282995</v>
      </c>
      <c r="N32">
        <v>885.03333935433432</v>
      </c>
    </row>
    <row r="33" spans="1:14" x14ac:dyDescent="0.2">
      <c r="A33" s="152" t="s">
        <v>104</v>
      </c>
      <c r="B33">
        <v>3.4673685045253172E-2</v>
      </c>
      <c r="C33">
        <v>4.1576906505816455E-2</v>
      </c>
      <c r="D33">
        <v>8.0416666666666661</v>
      </c>
      <c r="E33">
        <v>4.6420000000000003</v>
      </c>
      <c r="F33">
        <v>918.02485153949783</v>
      </c>
      <c r="G33">
        <v>340.93205001645276</v>
      </c>
      <c r="H33">
        <v>795.0369725967812</v>
      </c>
      <c r="I33">
        <v>69.06015037593987</v>
      </c>
      <c r="J33">
        <v>332.18261227149611</v>
      </c>
      <c r="K33">
        <v>92.552969827987596</v>
      </c>
      <c r="L33">
        <v>927.96246277068872</v>
      </c>
      <c r="M33">
        <v>4.2621892153697125</v>
      </c>
      <c r="N33">
        <v>952.6626672490155</v>
      </c>
    </row>
    <row r="34" spans="1:14" x14ac:dyDescent="0.2">
      <c r="A34" s="152" t="s">
        <v>104</v>
      </c>
      <c r="B34">
        <v>6.6069344800759433E-2</v>
      </c>
      <c r="C34">
        <v>3.6546610169491525E-2</v>
      </c>
      <c r="D34">
        <v>8.8461538461538449</v>
      </c>
      <c r="E34">
        <v>9.44</v>
      </c>
      <c r="F34">
        <v>827.28679075802177</v>
      </c>
      <c r="G34">
        <v>261.92826587693321</v>
      </c>
      <c r="H34">
        <v>457.80774249673777</v>
      </c>
      <c r="I34">
        <v>84.241215283105731</v>
      </c>
      <c r="J34">
        <v>248.57582620458192</v>
      </c>
      <c r="K34">
        <v>109.81236757878384</v>
      </c>
      <c r="L34">
        <v>611.53898799240415</v>
      </c>
      <c r="M34">
        <v>6.5870196964804641</v>
      </c>
      <c r="N34">
        <v>968.44606934480078</v>
      </c>
    </row>
    <row r="37" spans="1:14" x14ac:dyDescent="0.2">
      <c r="B37" t="s">
        <v>95</v>
      </c>
      <c r="C37" t="s">
        <v>130</v>
      </c>
      <c r="D37" t="s">
        <v>131</v>
      </c>
      <c r="E37" t="s">
        <v>28</v>
      </c>
      <c r="F37" t="s">
        <v>136</v>
      </c>
      <c r="G37" t="s">
        <v>137</v>
      </c>
      <c r="H37" t="s">
        <v>138</v>
      </c>
      <c r="I37" t="s">
        <v>139</v>
      </c>
      <c r="J37" t="s">
        <v>140</v>
      </c>
      <c r="K37" t="s">
        <v>141</v>
      </c>
      <c r="L37" t="s">
        <v>142</v>
      </c>
      <c r="M37" t="s">
        <v>34</v>
      </c>
    </row>
    <row r="38" spans="1:14" x14ac:dyDescent="0.2">
      <c r="A38" t="s">
        <v>130</v>
      </c>
      <c r="B38" s="112">
        <v>0.23899999999999999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</row>
    <row r="39" spans="1:14" x14ac:dyDescent="0.2">
      <c r="B39" s="112">
        <v>0.18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</row>
    <row r="40" spans="1:14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</row>
    <row r="41" spans="1:14" x14ac:dyDescent="0.2">
      <c r="A41" t="s">
        <v>131</v>
      </c>
      <c r="B41" s="112">
        <v>-7.9000000000000001E-2</v>
      </c>
      <c r="C41" s="112">
        <v>-0.17399999999999999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</row>
    <row r="42" spans="1:14" x14ac:dyDescent="0.2">
      <c r="B42" s="112">
        <v>0.66300000000000003</v>
      </c>
      <c r="C42" s="112">
        <v>0.33300000000000002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</row>
    <row r="43" spans="1:14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</row>
    <row r="44" spans="1:14" x14ac:dyDescent="0.2">
      <c r="A44" t="s">
        <v>28</v>
      </c>
      <c r="B44" s="112">
        <v>0.69699999999999995</v>
      </c>
      <c r="C44" s="112">
        <v>0.22700000000000001</v>
      </c>
      <c r="D44" s="112">
        <v>-4.4999999999999998E-2</v>
      </c>
      <c r="E44" s="112"/>
      <c r="F44" s="112"/>
      <c r="G44" s="112"/>
      <c r="H44" s="112"/>
      <c r="I44" s="112"/>
      <c r="J44" s="112"/>
      <c r="K44" s="112"/>
      <c r="L44" s="112"/>
      <c r="M44" s="112"/>
    </row>
    <row r="45" spans="1:14" x14ac:dyDescent="0.2">
      <c r="B45" s="112">
        <v>0</v>
      </c>
      <c r="C45" s="112">
        <v>0.20499999999999999</v>
      </c>
      <c r="D45" s="112">
        <v>0.80400000000000005</v>
      </c>
      <c r="E45" s="112"/>
      <c r="F45" s="112"/>
      <c r="G45" s="112"/>
      <c r="H45" s="112"/>
      <c r="I45" s="112"/>
      <c r="J45" s="112"/>
      <c r="K45" s="112"/>
      <c r="L45" s="112"/>
      <c r="M45" s="112"/>
    </row>
    <row r="46" spans="1:14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</row>
    <row r="47" spans="1:14" x14ac:dyDescent="0.2">
      <c r="A47" t="s">
        <v>136</v>
      </c>
      <c r="B47" s="112">
        <v>-0.375</v>
      </c>
      <c r="C47" s="112">
        <v>-0.38400000000000001</v>
      </c>
      <c r="D47" s="112">
        <v>0.25600000000000001</v>
      </c>
      <c r="E47" s="112">
        <v>-8.3000000000000004E-2</v>
      </c>
      <c r="F47" s="112"/>
      <c r="G47" s="112"/>
      <c r="H47" s="112"/>
      <c r="I47" s="112"/>
      <c r="J47" s="112"/>
      <c r="K47" s="112"/>
      <c r="L47" s="112"/>
      <c r="M47" s="112"/>
    </row>
    <row r="48" spans="1:14" x14ac:dyDescent="0.2">
      <c r="B48" s="112">
        <v>3.2000000000000001E-2</v>
      </c>
      <c r="C48" s="112">
        <v>2.7E-2</v>
      </c>
      <c r="D48" s="112">
        <v>0.151</v>
      </c>
      <c r="E48" s="112">
        <v>0.64600000000000002</v>
      </c>
      <c r="F48" s="112"/>
      <c r="G48" s="112"/>
      <c r="H48" s="112"/>
      <c r="I48" s="112"/>
      <c r="J48" s="112"/>
      <c r="K48" s="112"/>
      <c r="L48" s="112"/>
      <c r="M48" s="112"/>
    </row>
    <row r="49" spans="1:13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</row>
    <row r="50" spans="1:13" x14ac:dyDescent="0.2">
      <c r="A50" t="s">
        <v>137</v>
      </c>
      <c r="B50" s="112">
        <v>-0.34200000000000003</v>
      </c>
      <c r="C50" s="112">
        <v>-0.24099999999999999</v>
      </c>
      <c r="D50" s="112">
        <v>0.158</v>
      </c>
      <c r="E50" s="112">
        <v>-2.5000000000000001E-2</v>
      </c>
      <c r="F50" s="112">
        <v>0.94799999999999995</v>
      </c>
      <c r="G50" s="112"/>
      <c r="H50" s="112"/>
      <c r="I50" s="112"/>
      <c r="J50" s="112"/>
      <c r="K50" s="112"/>
      <c r="L50" s="112"/>
      <c r="M50" s="112"/>
    </row>
    <row r="51" spans="1:13" x14ac:dyDescent="0.2">
      <c r="B51" s="112">
        <v>5.0999999999999997E-2</v>
      </c>
      <c r="C51" s="112">
        <v>0.17699999999999999</v>
      </c>
      <c r="D51" s="112">
        <v>0.378</v>
      </c>
      <c r="E51" s="112">
        <v>0.89</v>
      </c>
      <c r="F51" s="112">
        <v>0</v>
      </c>
      <c r="G51" s="112"/>
      <c r="H51" s="112"/>
      <c r="I51" s="112"/>
      <c r="J51" s="112"/>
      <c r="K51" s="112"/>
      <c r="L51" s="112"/>
      <c r="M51" s="112"/>
    </row>
    <row r="52" spans="1:13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</row>
    <row r="53" spans="1:13" x14ac:dyDescent="0.2">
      <c r="A53" t="s">
        <v>138</v>
      </c>
      <c r="B53" s="112">
        <v>-0.30099999999999999</v>
      </c>
      <c r="C53" s="112">
        <v>-9.1999999999999998E-2</v>
      </c>
      <c r="D53" s="112">
        <v>0.38300000000000001</v>
      </c>
      <c r="E53" s="112">
        <v>-1.4999999999999999E-2</v>
      </c>
      <c r="F53" s="151">
        <v>0.80100000000000005</v>
      </c>
      <c r="G53" s="151">
        <v>0.81499999999999995</v>
      </c>
      <c r="H53" s="112"/>
      <c r="I53" s="112"/>
      <c r="J53" s="112"/>
      <c r="K53" s="112"/>
      <c r="L53" s="112"/>
      <c r="M53" s="112"/>
    </row>
    <row r="54" spans="1:13" x14ac:dyDescent="0.2">
      <c r="B54" s="112">
        <v>8.8999999999999996E-2</v>
      </c>
      <c r="C54" s="112">
        <v>0.61099999999999999</v>
      </c>
      <c r="D54" s="112">
        <v>2.8000000000000001E-2</v>
      </c>
      <c r="E54" s="112">
        <v>0.93300000000000005</v>
      </c>
      <c r="F54" s="134">
        <v>0</v>
      </c>
      <c r="G54" s="134">
        <v>0</v>
      </c>
      <c r="H54" s="112"/>
      <c r="I54" s="112"/>
      <c r="J54" s="112"/>
      <c r="K54" s="112"/>
      <c r="L54" s="112"/>
      <c r="M54" s="112"/>
    </row>
    <row r="55" spans="1:13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</row>
    <row r="56" spans="1:13" x14ac:dyDescent="0.2">
      <c r="A56" t="s">
        <v>139</v>
      </c>
      <c r="B56" s="112">
        <v>-0.314</v>
      </c>
      <c r="C56" s="112">
        <v>-0.30299999999999999</v>
      </c>
      <c r="D56" s="112">
        <v>0.30299999999999999</v>
      </c>
      <c r="E56" s="112">
        <v>0.03</v>
      </c>
      <c r="F56" s="151">
        <v>0.872</v>
      </c>
      <c r="G56" s="151">
        <v>0.88700000000000001</v>
      </c>
      <c r="H56" s="151">
        <v>0.84899999999999998</v>
      </c>
      <c r="I56" s="112"/>
      <c r="J56" s="112"/>
      <c r="K56" s="112"/>
      <c r="L56" s="112"/>
      <c r="M56" s="112"/>
    </row>
    <row r="57" spans="1:13" x14ac:dyDescent="0.2">
      <c r="B57" s="112">
        <v>7.5999999999999998E-2</v>
      </c>
      <c r="C57" s="112">
        <v>8.5999999999999993E-2</v>
      </c>
      <c r="D57" s="112">
        <v>8.5999999999999993E-2</v>
      </c>
      <c r="E57" s="112">
        <v>0.86899999999999999</v>
      </c>
      <c r="F57" s="134">
        <v>0</v>
      </c>
      <c r="G57" s="134">
        <v>0</v>
      </c>
      <c r="H57" s="134">
        <v>0</v>
      </c>
      <c r="I57" s="112"/>
      <c r="J57" s="112"/>
      <c r="K57" s="112"/>
      <c r="L57" s="112"/>
      <c r="M57" s="112"/>
    </row>
    <row r="58" spans="1:13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</row>
    <row r="59" spans="1:13" x14ac:dyDescent="0.2">
      <c r="A59" t="s">
        <v>140</v>
      </c>
      <c r="B59" s="112">
        <v>-0.33500000000000002</v>
      </c>
      <c r="C59" s="112">
        <v>-0.16600000000000001</v>
      </c>
      <c r="D59" s="112">
        <v>0.32500000000000001</v>
      </c>
      <c r="E59" s="112">
        <v>-0.17499999999999999</v>
      </c>
      <c r="F59" s="112">
        <v>0.75</v>
      </c>
      <c r="G59" s="112">
        <v>0.73799999999999999</v>
      </c>
      <c r="H59" s="151">
        <v>0.88</v>
      </c>
      <c r="I59" s="112">
        <v>0.79200000000000004</v>
      </c>
      <c r="J59" s="112"/>
      <c r="K59" s="112"/>
      <c r="L59" s="112"/>
      <c r="M59" s="112"/>
    </row>
    <row r="60" spans="1:13" x14ac:dyDescent="0.2">
      <c r="B60" s="112">
        <v>5.6000000000000001E-2</v>
      </c>
      <c r="C60" s="112">
        <v>0.35499999999999998</v>
      </c>
      <c r="D60" s="112">
        <v>6.5000000000000002E-2</v>
      </c>
      <c r="E60" s="112">
        <v>0.32900000000000001</v>
      </c>
      <c r="F60" s="112">
        <v>0</v>
      </c>
      <c r="G60" s="112">
        <v>0</v>
      </c>
      <c r="H60" s="134">
        <v>0</v>
      </c>
      <c r="I60" s="112">
        <v>0</v>
      </c>
      <c r="J60" s="112"/>
      <c r="K60" s="112"/>
      <c r="L60" s="112"/>
      <c r="M60" s="112"/>
    </row>
    <row r="61" spans="1:13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</row>
    <row r="62" spans="1:13" x14ac:dyDescent="0.2">
      <c r="A62" t="s">
        <v>141</v>
      </c>
      <c r="B62" s="112">
        <v>-0.217</v>
      </c>
      <c r="C62" s="112">
        <v>0.112</v>
      </c>
      <c r="D62" s="112">
        <v>-6.4000000000000001E-2</v>
      </c>
      <c r="E62" s="112">
        <v>7.5999999999999998E-2</v>
      </c>
      <c r="F62" s="112">
        <v>0.33800000000000002</v>
      </c>
      <c r="G62" s="112">
        <v>0.501</v>
      </c>
      <c r="H62" s="112">
        <v>0.443</v>
      </c>
      <c r="I62" s="112">
        <v>0.62</v>
      </c>
      <c r="J62" s="112">
        <v>0.43</v>
      </c>
      <c r="K62" s="112"/>
      <c r="L62" s="112"/>
      <c r="M62" s="112"/>
    </row>
    <row r="63" spans="1:13" x14ac:dyDescent="0.2">
      <c r="B63" s="112">
        <v>0.22600000000000001</v>
      </c>
      <c r="C63" s="112">
        <v>0.53400000000000003</v>
      </c>
      <c r="D63" s="112">
        <v>0.72299999999999998</v>
      </c>
      <c r="E63" s="112">
        <v>0.67400000000000004</v>
      </c>
      <c r="F63" s="112">
        <v>5.5E-2</v>
      </c>
      <c r="G63" s="112">
        <v>3.0000000000000001E-3</v>
      </c>
      <c r="H63" s="112">
        <v>0.01</v>
      </c>
      <c r="I63" s="112">
        <v>0</v>
      </c>
      <c r="J63" s="112">
        <v>1.2999999999999999E-2</v>
      </c>
      <c r="K63" s="112"/>
      <c r="L63" s="112"/>
      <c r="M63" s="112"/>
    </row>
    <row r="64" spans="1:13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</row>
    <row r="65" spans="1:13" x14ac:dyDescent="0.2">
      <c r="A65" t="s">
        <v>142</v>
      </c>
      <c r="B65" s="112">
        <v>-0.28899999999999998</v>
      </c>
      <c r="C65" s="112">
        <v>-2.9000000000000001E-2</v>
      </c>
      <c r="D65" s="112">
        <v>0.36</v>
      </c>
      <c r="E65" s="112">
        <v>-2.9000000000000001E-2</v>
      </c>
      <c r="F65" s="112">
        <v>0.68899999999999995</v>
      </c>
      <c r="G65" s="112">
        <v>0.71599999999999997</v>
      </c>
      <c r="H65" s="151">
        <v>0.96599999999999997</v>
      </c>
      <c r="I65" s="151">
        <v>0.81799999999999995</v>
      </c>
      <c r="J65" s="151">
        <v>0.90400000000000003</v>
      </c>
      <c r="K65" s="112">
        <v>0.52100000000000002</v>
      </c>
      <c r="L65" s="112"/>
      <c r="M65" s="112"/>
    </row>
    <row r="66" spans="1:13" x14ac:dyDescent="0.2">
      <c r="B66" s="112">
        <v>0.10199999999999999</v>
      </c>
      <c r="C66" s="112">
        <v>0.873</v>
      </c>
      <c r="D66" s="112">
        <v>0.04</v>
      </c>
      <c r="E66" s="112">
        <v>0.871</v>
      </c>
      <c r="F66" s="112">
        <v>0</v>
      </c>
      <c r="G66" s="112">
        <v>0</v>
      </c>
      <c r="H66" s="134">
        <v>0</v>
      </c>
      <c r="I66" s="134">
        <v>0</v>
      </c>
      <c r="J66" s="134">
        <v>0</v>
      </c>
      <c r="K66" s="112">
        <v>2E-3</v>
      </c>
      <c r="L66" s="112"/>
      <c r="M66" s="112"/>
    </row>
    <row r="67" spans="1:13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</row>
    <row r="68" spans="1:13" x14ac:dyDescent="0.2">
      <c r="A68" t="s">
        <v>34</v>
      </c>
      <c r="B68" s="112">
        <v>-0.108</v>
      </c>
      <c r="C68" s="112">
        <v>0.32700000000000001</v>
      </c>
      <c r="D68" s="112">
        <v>-0.14299999999999999</v>
      </c>
      <c r="E68" s="112">
        <v>-5.2999999999999999E-2</v>
      </c>
      <c r="F68" s="112">
        <v>0.124</v>
      </c>
      <c r="G68" s="112">
        <v>0.23499999999999999</v>
      </c>
      <c r="H68" s="112">
        <v>0.11</v>
      </c>
      <c r="I68" s="112">
        <v>7.9000000000000001E-2</v>
      </c>
      <c r="J68" s="112">
        <v>0.19400000000000001</v>
      </c>
      <c r="K68" s="112">
        <v>0.19600000000000001</v>
      </c>
      <c r="L68" s="112">
        <v>0.17799999999999999</v>
      </c>
      <c r="M68" s="112"/>
    </row>
    <row r="69" spans="1:13" x14ac:dyDescent="0.2">
      <c r="B69" s="112">
        <v>0.54900000000000004</v>
      </c>
      <c r="C69" s="112">
        <v>6.3E-2</v>
      </c>
      <c r="D69" s="112">
        <v>0.42799999999999999</v>
      </c>
      <c r="E69" s="112">
        <v>0.77</v>
      </c>
      <c r="F69" s="112">
        <v>0.49299999999999999</v>
      </c>
      <c r="G69" s="112">
        <v>0.189</v>
      </c>
      <c r="H69" s="112">
        <v>0.54400000000000004</v>
      </c>
      <c r="I69" s="112">
        <v>0.66200000000000003</v>
      </c>
      <c r="J69" s="112">
        <v>0.27900000000000003</v>
      </c>
      <c r="K69" s="112">
        <v>0.27500000000000002</v>
      </c>
      <c r="L69" s="112">
        <v>0.32200000000000001</v>
      </c>
      <c r="M69" s="112"/>
    </row>
    <row r="70" spans="1:13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</row>
    <row r="71" spans="1:13" x14ac:dyDescent="0.2">
      <c r="A71" t="s">
        <v>135</v>
      </c>
      <c r="B71" s="112">
        <v>-0.33400000000000002</v>
      </c>
      <c r="C71" s="112">
        <v>-0.40300000000000002</v>
      </c>
      <c r="D71" s="112">
        <v>0.104</v>
      </c>
      <c r="E71" s="112">
        <v>-7.6999999999999999E-2</v>
      </c>
      <c r="F71" s="151">
        <v>0.878</v>
      </c>
      <c r="G71" s="151">
        <v>0.81699999999999995</v>
      </c>
      <c r="H71" s="112">
        <v>0.58699999999999997</v>
      </c>
      <c r="I71" s="112">
        <v>0.64800000000000002</v>
      </c>
      <c r="J71" s="112">
        <v>0.54500000000000004</v>
      </c>
      <c r="K71" s="112">
        <v>0.13300000000000001</v>
      </c>
      <c r="L71" s="112">
        <v>0.48599999999999999</v>
      </c>
      <c r="M71" s="112">
        <v>0.33100000000000002</v>
      </c>
    </row>
    <row r="72" spans="1:13" x14ac:dyDescent="0.2">
      <c r="B72" s="112">
        <v>5.8000000000000003E-2</v>
      </c>
      <c r="C72" s="112">
        <v>0.02</v>
      </c>
      <c r="D72" s="112">
        <v>0.56599999999999995</v>
      </c>
      <c r="E72" s="112">
        <v>0.67</v>
      </c>
      <c r="F72" s="134">
        <v>0</v>
      </c>
      <c r="G72" s="134">
        <v>0</v>
      </c>
      <c r="H72" s="112">
        <v>0</v>
      </c>
      <c r="I72" s="112">
        <v>0</v>
      </c>
      <c r="J72" s="112">
        <v>1E-3</v>
      </c>
      <c r="K72" s="112">
        <v>0.46</v>
      </c>
      <c r="L72" s="112">
        <v>4.0000000000000001E-3</v>
      </c>
      <c r="M72" s="112">
        <v>0.06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58" workbookViewId="0">
      <selection activeCell="A9" sqref="A9"/>
    </sheetView>
  </sheetViews>
  <sheetFormatPr defaultRowHeight="12.75" x14ac:dyDescent="0.2"/>
  <sheetData>
    <row r="1" spans="1:15" x14ac:dyDescent="0.2">
      <c r="A1" s="72" t="s">
        <v>95</v>
      </c>
      <c r="B1" s="72" t="s">
        <v>130</v>
      </c>
      <c r="C1" s="72" t="s">
        <v>131</v>
      </c>
      <c r="D1" s="72" t="s">
        <v>28</v>
      </c>
      <c r="E1" s="72" t="s">
        <v>136</v>
      </c>
      <c r="F1" s="72" t="s">
        <v>137</v>
      </c>
      <c r="G1" s="72" t="s">
        <v>138</v>
      </c>
      <c r="H1" s="72" t="s">
        <v>139</v>
      </c>
      <c r="I1" s="72" t="s">
        <v>140</v>
      </c>
      <c r="J1" s="72" t="s">
        <v>141</v>
      </c>
      <c r="K1" s="72" t="s">
        <v>142</v>
      </c>
      <c r="L1" s="72" t="s">
        <v>72</v>
      </c>
      <c r="M1" s="72" t="s">
        <v>34</v>
      </c>
      <c r="N1" s="72" t="s">
        <v>132</v>
      </c>
      <c r="O1" s="72" t="s">
        <v>113</v>
      </c>
    </row>
    <row r="2" spans="1:15" x14ac:dyDescent="0.2">
      <c r="A2">
        <v>3.5481338923357426E-2</v>
      </c>
      <c r="B2">
        <v>3.9846049354765677E-2</v>
      </c>
      <c r="C2">
        <v>8</v>
      </c>
      <c r="D2" s="232">
        <v>4.4169999999999998</v>
      </c>
      <c r="E2">
        <v>107.1909775936923</v>
      </c>
      <c r="F2">
        <v>138.94373149062193</v>
      </c>
      <c r="G2">
        <v>61.85297955632884</v>
      </c>
      <c r="H2">
        <v>11.406066185872847</v>
      </c>
      <c r="I2">
        <v>38.603431045969359</v>
      </c>
      <c r="J2">
        <v>10.079555918957146</v>
      </c>
      <c r="K2">
        <v>52.020985530138489</v>
      </c>
      <c r="L2">
        <v>2.5739551531740181</v>
      </c>
      <c r="M2">
        <v>10</v>
      </c>
      <c r="N2">
        <v>0</v>
      </c>
      <c r="O2">
        <v>2</v>
      </c>
    </row>
    <row r="3" spans="1:15" x14ac:dyDescent="0.2">
      <c r="A3">
        <v>4.2657951880159237E-2</v>
      </c>
      <c r="B3">
        <v>4.1162227602905575E-2</v>
      </c>
      <c r="C3">
        <v>7.0833333333333339</v>
      </c>
      <c r="D3" s="143">
        <v>4.13</v>
      </c>
      <c r="E3">
        <v>181.54598532860919</v>
      </c>
      <c r="F3">
        <v>77.65712405396512</v>
      </c>
      <c r="G3">
        <v>135.6241844280122</v>
      </c>
      <c r="H3">
        <v>15.165464682113447</v>
      </c>
      <c r="I3">
        <v>71.108844103930721</v>
      </c>
      <c r="J3">
        <v>10.244054271554525</v>
      </c>
      <c r="K3">
        <v>167.00984401884185</v>
      </c>
      <c r="L3">
        <v>3.0476892304453096</v>
      </c>
      <c r="M3">
        <v>8</v>
      </c>
      <c r="N3">
        <v>4</v>
      </c>
      <c r="O3">
        <v>0</v>
      </c>
    </row>
    <row r="4" spans="1:15" x14ac:dyDescent="0.2">
      <c r="A4">
        <v>2.8183829312644466E-2</v>
      </c>
      <c r="B4">
        <v>4.2713276999652737E-2</v>
      </c>
      <c r="C4">
        <v>8.3863636363636367</v>
      </c>
      <c r="D4" s="143">
        <v>8.6389999999999993</v>
      </c>
      <c r="E4">
        <v>214.53166325664955</v>
      </c>
      <c r="F4">
        <v>85.636722606120429</v>
      </c>
      <c r="G4">
        <v>209.09090909090912</v>
      </c>
      <c r="H4">
        <v>20.945220193340493</v>
      </c>
      <c r="I4">
        <v>54.467854763491012</v>
      </c>
      <c r="J4">
        <v>4.6736884885020489</v>
      </c>
      <c r="K4">
        <v>238.81758948466981</v>
      </c>
      <c r="L4">
        <v>2.2160227392357088</v>
      </c>
      <c r="M4">
        <v>12</v>
      </c>
      <c r="N4">
        <v>0</v>
      </c>
      <c r="O4">
        <v>4</v>
      </c>
    </row>
    <row r="5" spans="1:15" x14ac:dyDescent="0.2">
      <c r="A5">
        <v>5.3703179637025193E-2</v>
      </c>
      <c r="B5">
        <v>1.6435541859270673E-2</v>
      </c>
      <c r="C5">
        <v>16</v>
      </c>
      <c r="D5" s="143">
        <v>1.9470000000000001</v>
      </c>
      <c r="E5">
        <v>286.19192574479763</v>
      </c>
      <c r="F5">
        <v>101.84271141822967</v>
      </c>
      <c r="G5">
        <v>78.555893866898671</v>
      </c>
      <c r="H5">
        <v>15.191038821543655</v>
      </c>
      <c r="I5">
        <v>163.76998667554966</v>
      </c>
      <c r="J5">
        <v>3.5560673282080804</v>
      </c>
      <c r="K5">
        <v>22.288663864835129</v>
      </c>
      <c r="L5">
        <v>2.0949573639330459</v>
      </c>
      <c r="M5">
        <v>9</v>
      </c>
      <c r="N5">
        <v>0</v>
      </c>
      <c r="O5">
        <v>1</v>
      </c>
    </row>
    <row r="6" spans="1:15" x14ac:dyDescent="0.2">
      <c r="A6">
        <v>0.13489628825916511</v>
      </c>
      <c r="B6">
        <v>1.7175141242937852E-2</v>
      </c>
      <c r="C6">
        <v>8.4444444444444446</v>
      </c>
      <c r="D6" s="143">
        <v>8.85</v>
      </c>
      <c r="E6">
        <v>749.28888667099159</v>
      </c>
      <c r="F6">
        <v>209.52615992102668</v>
      </c>
      <c r="G6">
        <v>318.35580687255333</v>
      </c>
      <c r="H6">
        <v>38.335635005882061</v>
      </c>
      <c r="I6">
        <v>283.83369420386413</v>
      </c>
      <c r="J6">
        <v>21.486387761322568</v>
      </c>
      <c r="K6">
        <v>348.82238456548106</v>
      </c>
      <c r="L6">
        <v>4.3478260869565215</v>
      </c>
      <c r="M6">
        <v>17</v>
      </c>
      <c r="N6">
        <v>20</v>
      </c>
      <c r="O6">
        <v>13</v>
      </c>
    </row>
    <row r="7" spans="1:15" x14ac:dyDescent="0.2">
      <c r="A7">
        <v>2.9512092266663778E-2</v>
      </c>
      <c r="B7">
        <v>1.853932584269663E-2</v>
      </c>
      <c r="C7">
        <v>8.884615384615385</v>
      </c>
      <c r="D7" s="143">
        <v>12.46</v>
      </c>
      <c r="E7">
        <v>990.11926742851438</v>
      </c>
      <c r="F7">
        <v>237.57815070746955</v>
      </c>
      <c r="G7">
        <v>644.28012179208349</v>
      </c>
      <c r="H7">
        <v>105.1352871975858</v>
      </c>
      <c r="I7">
        <v>389.35084943371089</v>
      </c>
      <c r="J7">
        <v>46.277257135116038</v>
      </c>
      <c r="K7">
        <v>885.91374495811351</v>
      </c>
      <c r="L7">
        <v>47.262869775765864</v>
      </c>
      <c r="M7">
        <v>12</v>
      </c>
      <c r="N7">
        <v>560</v>
      </c>
      <c r="O7">
        <v>4</v>
      </c>
    </row>
    <row r="8" spans="1:15" x14ac:dyDescent="0.2">
      <c r="A8">
        <v>6.3095734448019178E-2</v>
      </c>
      <c r="B8">
        <v>3.4289482360698981E-2</v>
      </c>
      <c r="C8">
        <v>9.9047619047619033</v>
      </c>
      <c r="D8" s="143">
        <v>6.0659999999999998</v>
      </c>
      <c r="E8">
        <v>1025.101052946754</v>
      </c>
      <c r="F8">
        <v>360.15136558078314</v>
      </c>
      <c r="G8">
        <v>623.35798173118746</v>
      </c>
      <c r="H8">
        <v>82.220858268119287</v>
      </c>
      <c r="I8">
        <v>299.31712191872083</v>
      </c>
      <c r="J8">
        <v>93.570533506862958</v>
      </c>
      <c r="K8">
        <v>869.66688291540902</v>
      </c>
      <c r="L8">
        <v>14.548899884198335</v>
      </c>
      <c r="M8">
        <v>13</v>
      </c>
      <c r="N8">
        <v>10</v>
      </c>
      <c r="O8">
        <v>7</v>
      </c>
    </row>
    <row r="9" spans="1:15" x14ac:dyDescent="0.2">
      <c r="A9">
        <v>0.3981071705534962</v>
      </c>
      <c r="B9">
        <v>2.0297349709114416E-2</v>
      </c>
      <c r="C9">
        <v>9.235294117647058</v>
      </c>
      <c r="D9" s="143">
        <v>7.7350000000000003</v>
      </c>
      <c r="E9">
        <v>1169.2699236488845</v>
      </c>
      <c r="F9">
        <v>251.64527805199077</v>
      </c>
      <c r="G9">
        <v>883.03610265332759</v>
      </c>
      <c r="H9">
        <v>96.261060815303566</v>
      </c>
      <c r="I9">
        <v>434.40622918054635</v>
      </c>
      <c r="J9">
        <v>17.722278398947211</v>
      </c>
      <c r="K9">
        <v>1126.3729444616818</v>
      </c>
      <c r="L9">
        <v>0</v>
      </c>
      <c r="M9">
        <v>11</v>
      </c>
      <c r="N9">
        <v>308</v>
      </c>
      <c r="O9">
        <v>1</v>
      </c>
    </row>
    <row r="10" spans="1:15" x14ac:dyDescent="0.2">
      <c r="A10">
        <v>5.3703179637025193E-2</v>
      </c>
      <c r="B10">
        <v>2.3502066115702481E-2</v>
      </c>
      <c r="C10">
        <v>12.133333333333333</v>
      </c>
      <c r="D10" s="143">
        <v>7.7439999999999998</v>
      </c>
      <c r="E10">
        <v>1294.2262587953487</v>
      </c>
      <c r="F10">
        <v>306.43303718328394</v>
      </c>
      <c r="G10">
        <v>448.15137016093956</v>
      </c>
      <c r="H10">
        <v>47.312157945885126</v>
      </c>
      <c r="I10">
        <v>163.54930046635576</v>
      </c>
      <c r="J10">
        <v>0</v>
      </c>
      <c r="K10">
        <v>365.05514342932895</v>
      </c>
      <c r="L10">
        <v>2.0896936519633647</v>
      </c>
      <c r="M10">
        <v>9</v>
      </c>
      <c r="N10">
        <v>0</v>
      </c>
      <c r="O10">
        <v>5</v>
      </c>
    </row>
    <row r="12" spans="1:15" x14ac:dyDescent="0.2">
      <c r="B12" t="s">
        <v>95</v>
      </c>
      <c r="C12" t="s">
        <v>130</v>
      </c>
      <c r="D12" t="s">
        <v>131</v>
      </c>
      <c r="E12" t="s">
        <v>28</v>
      </c>
      <c r="F12" t="s">
        <v>136</v>
      </c>
      <c r="G12" t="s">
        <v>137</v>
      </c>
      <c r="H12" t="s">
        <v>138</v>
      </c>
      <c r="I12" t="s">
        <v>139</v>
      </c>
      <c r="J12" s="112" t="s">
        <v>140</v>
      </c>
      <c r="K12" s="112" t="s">
        <v>141</v>
      </c>
      <c r="L12" s="112" t="s">
        <v>142</v>
      </c>
      <c r="M12" s="112" t="s">
        <v>72</v>
      </c>
      <c r="N12" s="112" t="s">
        <v>34</v>
      </c>
      <c r="O12" s="112" t="s">
        <v>132</v>
      </c>
    </row>
    <row r="13" spans="1:15" x14ac:dyDescent="0.2">
      <c r="A13" t="s">
        <v>130</v>
      </c>
      <c r="B13" s="112">
        <v>-0.38400000000000001</v>
      </c>
      <c r="C13" s="112"/>
      <c r="D13" s="112"/>
      <c r="E13" s="112"/>
      <c r="F13" s="112"/>
      <c r="G13" s="112"/>
      <c r="H13" s="112"/>
      <c r="I13" s="112"/>
    </row>
    <row r="14" spans="1:15" x14ac:dyDescent="0.2">
      <c r="B14" s="112">
        <v>0.308</v>
      </c>
      <c r="C14" s="112"/>
      <c r="D14" s="112"/>
      <c r="E14" s="112"/>
      <c r="F14" s="112"/>
      <c r="G14" s="112"/>
      <c r="H14" s="112"/>
      <c r="I14" s="112"/>
    </row>
    <row r="15" spans="1:15" x14ac:dyDescent="0.2">
      <c r="B15" s="112"/>
      <c r="C15" s="112"/>
      <c r="D15" s="112"/>
      <c r="E15" s="112"/>
      <c r="F15" s="112"/>
      <c r="G15" s="112"/>
      <c r="H15" s="112"/>
      <c r="I15" s="112"/>
    </row>
    <row r="16" spans="1:15" x14ac:dyDescent="0.2">
      <c r="A16" t="s">
        <v>131</v>
      </c>
      <c r="B16" s="112">
        <v>-6.8000000000000005E-2</v>
      </c>
      <c r="C16" s="112">
        <v>-0.54300000000000004</v>
      </c>
      <c r="D16" s="112"/>
      <c r="E16" s="112"/>
      <c r="F16" s="112"/>
      <c r="G16" s="112"/>
      <c r="H16" s="112"/>
      <c r="I16" s="112"/>
    </row>
    <row r="17" spans="1:9" x14ac:dyDescent="0.2">
      <c r="B17" s="112">
        <v>0.86099999999999999</v>
      </c>
      <c r="C17" s="112">
        <v>0.13100000000000001</v>
      </c>
      <c r="D17" s="112"/>
      <c r="E17" s="112"/>
      <c r="F17" s="112"/>
      <c r="G17" s="112"/>
      <c r="H17" s="112"/>
      <c r="I17" s="112"/>
    </row>
    <row r="18" spans="1:9" x14ac:dyDescent="0.2">
      <c r="B18" s="112"/>
      <c r="C18" s="112"/>
      <c r="D18" s="112"/>
      <c r="E18" s="112"/>
      <c r="F18" s="112"/>
      <c r="G18" s="112"/>
      <c r="H18" s="112"/>
      <c r="I18" s="112"/>
    </row>
    <row r="19" spans="1:9" x14ac:dyDescent="0.2">
      <c r="A19" t="s">
        <v>28</v>
      </c>
      <c r="B19" s="112">
        <v>0.114</v>
      </c>
      <c r="C19" s="112">
        <v>-0.25900000000000001</v>
      </c>
      <c r="D19" s="112">
        <v>-0.40300000000000002</v>
      </c>
      <c r="E19" s="112"/>
      <c r="F19" s="112"/>
      <c r="G19" s="112"/>
      <c r="H19" s="112"/>
      <c r="I19" s="112"/>
    </row>
    <row r="20" spans="1:9" x14ac:dyDescent="0.2">
      <c r="B20" s="112">
        <v>0.77</v>
      </c>
      <c r="C20" s="112">
        <v>0.5</v>
      </c>
      <c r="D20" s="112">
        <v>0.28199999999999997</v>
      </c>
      <c r="E20" s="112"/>
      <c r="F20" s="112"/>
      <c r="G20" s="112"/>
      <c r="H20" s="112"/>
      <c r="I20" s="112"/>
    </row>
    <row r="21" spans="1:9" x14ac:dyDescent="0.2">
      <c r="B21" s="112"/>
      <c r="C21" s="112"/>
      <c r="D21" s="112"/>
      <c r="E21" s="112"/>
      <c r="F21" s="112"/>
      <c r="G21" s="112"/>
      <c r="H21" s="112"/>
      <c r="I21" s="112"/>
    </row>
    <row r="22" spans="1:9" x14ac:dyDescent="0.2">
      <c r="A22" t="s">
        <v>136</v>
      </c>
      <c r="B22" s="112">
        <v>0.45</v>
      </c>
      <c r="C22" s="112">
        <v>-0.56299999999999994</v>
      </c>
      <c r="D22" s="112">
        <v>0.13700000000000001</v>
      </c>
      <c r="E22" s="112">
        <v>0.54500000000000004</v>
      </c>
      <c r="F22" s="112"/>
      <c r="G22" s="112"/>
      <c r="H22" s="112"/>
      <c r="I22" s="112"/>
    </row>
    <row r="23" spans="1:9" x14ac:dyDescent="0.2">
      <c r="B23" s="112">
        <v>0.22500000000000001</v>
      </c>
      <c r="C23" s="112">
        <v>0.114</v>
      </c>
      <c r="D23" s="112">
        <v>0.72499999999999998</v>
      </c>
      <c r="E23" s="112">
        <v>0.129</v>
      </c>
      <c r="F23" s="112"/>
      <c r="G23" s="112"/>
      <c r="H23" s="112"/>
      <c r="I23" s="112"/>
    </row>
    <row r="24" spans="1:9" x14ac:dyDescent="0.2">
      <c r="B24" s="112"/>
      <c r="C24" s="112"/>
      <c r="D24" s="112"/>
      <c r="E24" s="112"/>
      <c r="F24" s="112"/>
      <c r="G24" s="112"/>
      <c r="H24" s="112"/>
      <c r="I24" s="112"/>
    </row>
    <row r="25" spans="1:9" x14ac:dyDescent="0.2">
      <c r="A25" t="s">
        <v>137</v>
      </c>
      <c r="B25" s="112">
        <v>0.26700000000000002</v>
      </c>
      <c r="C25" s="112">
        <v>-0.35499999999999998</v>
      </c>
      <c r="D25" s="112">
        <v>8.3000000000000004E-2</v>
      </c>
      <c r="E25" s="112">
        <v>0.39500000000000002</v>
      </c>
      <c r="F25" s="318">
        <v>0.90100000000000002</v>
      </c>
      <c r="G25" s="112"/>
      <c r="H25" s="112"/>
      <c r="I25" s="112"/>
    </row>
    <row r="26" spans="1:9" x14ac:dyDescent="0.2">
      <c r="B26" s="112">
        <v>0.48799999999999999</v>
      </c>
      <c r="C26" s="112">
        <v>0.34899999999999998</v>
      </c>
      <c r="D26" s="112">
        <v>0.83199999999999996</v>
      </c>
      <c r="E26" s="112">
        <v>0.29199999999999998</v>
      </c>
      <c r="F26" s="317">
        <v>1E-3</v>
      </c>
      <c r="G26" s="112"/>
      <c r="H26" s="112"/>
      <c r="I26" s="112"/>
    </row>
    <row r="27" spans="1:9" x14ac:dyDescent="0.2">
      <c r="B27" s="112"/>
      <c r="C27" s="112"/>
      <c r="D27" s="112"/>
      <c r="E27" s="112"/>
      <c r="F27" s="112"/>
      <c r="G27" s="112"/>
      <c r="H27" s="112"/>
      <c r="I27" s="112"/>
    </row>
    <row r="28" spans="1:9" x14ac:dyDescent="0.2">
      <c r="A28" t="s">
        <v>138</v>
      </c>
      <c r="B28" s="112">
        <v>0.64500000000000002</v>
      </c>
      <c r="C28" s="112">
        <v>-0.40699999999999997</v>
      </c>
      <c r="D28" s="112">
        <v>-0.10299999999999999</v>
      </c>
      <c r="E28" s="112">
        <v>0.59099999999999997</v>
      </c>
      <c r="F28" s="252">
        <v>0.87</v>
      </c>
      <c r="G28" s="252">
        <v>0.76500000000000001</v>
      </c>
      <c r="H28" s="112"/>
      <c r="I28" s="112"/>
    </row>
    <row r="29" spans="1:9" x14ac:dyDescent="0.2">
      <c r="B29" s="112">
        <v>6.0999999999999999E-2</v>
      </c>
      <c r="C29" s="112">
        <v>0.27700000000000002</v>
      </c>
      <c r="D29" s="112">
        <v>0.79300000000000004</v>
      </c>
      <c r="E29" s="112">
        <v>9.2999999999999999E-2</v>
      </c>
      <c r="F29" s="252">
        <v>2E-3</v>
      </c>
      <c r="G29" s="252">
        <v>1.6E-2</v>
      </c>
      <c r="H29" s="112"/>
      <c r="I29" s="112"/>
    </row>
    <row r="30" spans="1:9" x14ac:dyDescent="0.2">
      <c r="B30" s="112"/>
      <c r="C30" s="112"/>
      <c r="D30" s="112"/>
      <c r="E30" s="112"/>
      <c r="F30" s="252"/>
      <c r="G30" s="252"/>
      <c r="H30" s="112"/>
      <c r="I30" s="112"/>
    </row>
    <row r="31" spans="1:9" x14ac:dyDescent="0.2">
      <c r="A31" t="s">
        <v>139</v>
      </c>
      <c r="B31" s="112">
        <v>0.46600000000000003</v>
      </c>
      <c r="C31" s="112">
        <v>-0.44500000000000001</v>
      </c>
      <c r="D31" s="112">
        <v>-9.1999999999999998E-2</v>
      </c>
      <c r="E31" s="112">
        <v>0.65200000000000002</v>
      </c>
      <c r="F31" s="252">
        <v>0.81699999999999995</v>
      </c>
      <c r="G31" s="252">
        <v>0.745</v>
      </c>
      <c r="H31" s="318">
        <v>0.95499999999999996</v>
      </c>
      <c r="I31" s="112"/>
    </row>
    <row r="32" spans="1:9" x14ac:dyDescent="0.2">
      <c r="B32" s="112">
        <v>0.20599999999999999</v>
      </c>
      <c r="C32" s="112">
        <v>0.23</v>
      </c>
      <c r="D32" s="112">
        <v>0.81399999999999995</v>
      </c>
      <c r="E32" s="112">
        <v>5.7000000000000002E-2</v>
      </c>
      <c r="F32" s="252">
        <v>7.0000000000000001E-3</v>
      </c>
      <c r="G32" s="252">
        <v>2.1000000000000001E-2</v>
      </c>
      <c r="H32" s="317">
        <v>0</v>
      </c>
      <c r="I32" s="112"/>
    </row>
    <row r="33" spans="1:15" x14ac:dyDescent="0.2">
      <c r="B33" s="112"/>
      <c r="C33" s="112"/>
      <c r="D33" s="112"/>
      <c r="E33" s="112"/>
      <c r="F33" s="252"/>
      <c r="G33" s="252"/>
      <c r="H33" s="112"/>
      <c r="I33" s="112"/>
    </row>
    <row r="34" spans="1:15" x14ac:dyDescent="0.2">
      <c r="A34" t="s">
        <v>140</v>
      </c>
      <c r="B34" s="112">
        <v>0.63</v>
      </c>
      <c r="C34" s="112">
        <v>-0.69299999999999995</v>
      </c>
      <c r="D34" s="112">
        <v>0.04</v>
      </c>
      <c r="E34" s="112">
        <v>0.53900000000000003</v>
      </c>
      <c r="F34" s="252">
        <v>0.77500000000000002</v>
      </c>
      <c r="G34" s="252">
        <v>0.65500000000000003</v>
      </c>
      <c r="H34" s="317">
        <v>0.89</v>
      </c>
      <c r="I34" s="317">
        <v>0.91300000000000003</v>
      </c>
    </row>
    <row r="35" spans="1:15" x14ac:dyDescent="0.2">
      <c r="B35" s="112">
        <v>6.9000000000000006E-2</v>
      </c>
      <c r="C35" s="112">
        <v>3.7999999999999999E-2</v>
      </c>
      <c r="D35" s="112">
        <v>0.91800000000000004</v>
      </c>
      <c r="E35" s="112">
        <v>0.13400000000000001</v>
      </c>
      <c r="F35" s="252">
        <v>1.4E-2</v>
      </c>
      <c r="G35" s="252">
        <v>5.6000000000000001E-2</v>
      </c>
      <c r="H35" s="317">
        <v>1E-3</v>
      </c>
      <c r="I35" s="317">
        <v>1E-3</v>
      </c>
    </row>
    <row r="36" spans="1:15" x14ac:dyDescent="0.2">
      <c r="B36" s="112"/>
      <c r="C36" s="112"/>
      <c r="D36" s="112"/>
      <c r="E36" s="112"/>
      <c r="F36" s="112"/>
      <c r="G36" s="112"/>
      <c r="H36" s="112"/>
      <c r="I36" s="112"/>
    </row>
    <row r="37" spans="1:15" x14ac:dyDescent="0.2">
      <c r="A37" t="s">
        <v>141</v>
      </c>
      <c r="B37" s="112">
        <v>-3.5999999999999997E-2</v>
      </c>
      <c r="C37" s="112">
        <v>7.0000000000000001E-3</v>
      </c>
      <c r="D37" s="112">
        <v>-0.152</v>
      </c>
      <c r="E37" s="112">
        <v>0.23499999999999999</v>
      </c>
      <c r="F37" s="112">
        <v>0.39700000000000002</v>
      </c>
      <c r="G37" s="112">
        <v>0.65200000000000002</v>
      </c>
      <c r="H37" s="112">
        <v>0.51200000000000001</v>
      </c>
      <c r="I37" s="112">
        <v>0.624</v>
      </c>
      <c r="J37" s="112">
        <v>0.51200000000000001</v>
      </c>
      <c r="K37" s="112"/>
      <c r="L37" s="112"/>
      <c r="M37" s="112"/>
      <c r="N37" s="112"/>
      <c r="O37" s="112"/>
    </row>
    <row r="38" spans="1:15" x14ac:dyDescent="0.2">
      <c r="B38" s="112">
        <v>0.92700000000000005</v>
      </c>
      <c r="C38" s="112">
        <v>0.98599999999999999</v>
      </c>
      <c r="D38" s="112">
        <v>0.69499999999999995</v>
      </c>
      <c r="E38" s="112">
        <v>0.54200000000000004</v>
      </c>
      <c r="F38" s="112">
        <v>0.29099999999999998</v>
      </c>
      <c r="G38" s="112">
        <v>5.7000000000000002E-2</v>
      </c>
      <c r="H38" s="112">
        <v>0.159</v>
      </c>
      <c r="I38" s="112">
        <v>7.1999999999999995E-2</v>
      </c>
      <c r="J38">
        <v>0.159</v>
      </c>
      <c r="K38" s="112"/>
      <c r="L38" s="112"/>
      <c r="M38" s="112"/>
      <c r="N38" s="112"/>
      <c r="O38" s="112"/>
    </row>
    <row r="39" spans="1:15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</row>
    <row r="40" spans="1:15" x14ac:dyDescent="0.2">
      <c r="A40" t="s">
        <v>142</v>
      </c>
      <c r="B40" s="112">
        <v>0.60599999999999998</v>
      </c>
      <c r="C40" s="112">
        <v>-0.32900000000000001</v>
      </c>
      <c r="D40" s="112">
        <v>-0.189</v>
      </c>
      <c r="E40" s="112">
        <v>0.58299999999999996</v>
      </c>
      <c r="F40" s="252">
        <v>0.77800000000000002</v>
      </c>
      <c r="G40" s="252">
        <v>0.71199999999999997</v>
      </c>
      <c r="H40" s="318">
        <v>0.98099999999999998</v>
      </c>
      <c r="I40" s="317">
        <v>0.96799999999999997</v>
      </c>
      <c r="J40" s="317">
        <v>0.89100000000000001</v>
      </c>
      <c r="K40" s="112">
        <v>0.61399999999999999</v>
      </c>
      <c r="L40" s="112"/>
      <c r="M40" s="112"/>
      <c r="N40" s="112"/>
      <c r="O40" s="112"/>
    </row>
    <row r="41" spans="1:15" x14ac:dyDescent="0.2">
      <c r="B41" s="112">
        <v>8.4000000000000005E-2</v>
      </c>
      <c r="C41" s="112">
        <v>0.38800000000000001</v>
      </c>
      <c r="D41" s="112">
        <v>0.626</v>
      </c>
      <c r="E41" s="112">
        <v>0.1</v>
      </c>
      <c r="F41" s="252">
        <v>1.4E-2</v>
      </c>
      <c r="G41" s="252">
        <v>3.1E-2</v>
      </c>
      <c r="H41" s="317">
        <v>0</v>
      </c>
      <c r="I41" s="317">
        <v>0</v>
      </c>
      <c r="J41" s="317">
        <v>1E-3</v>
      </c>
      <c r="K41" s="112">
        <v>7.9000000000000001E-2</v>
      </c>
      <c r="L41" s="112"/>
      <c r="M41" s="112"/>
      <c r="N41" s="112"/>
      <c r="O41" s="112"/>
    </row>
    <row r="42" spans="1:15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</row>
    <row r="43" spans="1:15" x14ac:dyDescent="0.2">
      <c r="A43" t="s">
        <v>72</v>
      </c>
      <c r="B43" s="112">
        <v>-0.27100000000000002</v>
      </c>
      <c r="C43" s="112">
        <v>-0.26100000000000001</v>
      </c>
      <c r="D43" s="112">
        <v>-0.13600000000000001</v>
      </c>
      <c r="E43" s="112">
        <v>0.63800000000000001</v>
      </c>
      <c r="F43" s="112">
        <v>0.30399999999999999</v>
      </c>
      <c r="G43" s="112">
        <v>0.29799999999999999</v>
      </c>
      <c r="H43" s="112">
        <v>0.38600000000000001</v>
      </c>
      <c r="I43" s="112">
        <v>0.63100000000000001</v>
      </c>
      <c r="J43" s="112">
        <v>0.48599999999999999</v>
      </c>
      <c r="K43" s="112">
        <v>0.53200000000000003</v>
      </c>
      <c r="L43" s="112">
        <v>0.46400000000000002</v>
      </c>
      <c r="M43" s="112"/>
      <c r="N43" s="112"/>
      <c r="O43" s="112"/>
    </row>
    <row r="44" spans="1:15" x14ac:dyDescent="0.2">
      <c r="B44" s="112">
        <v>0.48</v>
      </c>
      <c r="C44" s="112">
        <v>0.497</v>
      </c>
      <c r="D44" s="112">
        <v>0.72699999999999998</v>
      </c>
      <c r="E44" s="112">
        <v>6.4000000000000001E-2</v>
      </c>
      <c r="F44" s="112">
        <v>0.42599999999999999</v>
      </c>
      <c r="G44" s="112">
        <v>0.436</v>
      </c>
      <c r="H44" s="112">
        <v>0.30399999999999999</v>
      </c>
      <c r="I44" s="112">
        <v>6.8000000000000005E-2</v>
      </c>
      <c r="J44" s="112">
        <v>0.184</v>
      </c>
      <c r="K44" s="112">
        <v>0.14000000000000001</v>
      </c>
      <c r="L44" s="112">
        <v>0.20799999999999999</v>
      </c>
      <c r="M44" s="112"/>
      <c r="N44" s="112"/>
      <c r="O44" s="112"/>
    </row>
    <row r="45" spans="1:15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</row>
    <row r="46" spans="1:15" x14ac:dyDescent="0.2">
      <c r="A46" t="s">
        <v>34</v>
      </c>
      <c r="B46" s="112">
        <v>0.16500000000000001</v>
      </c>
      <c r="C46" s="112">
        <v>-0.27500000000000002</v>
      </c>
      <c r="D46" s="112">
        <v>-0.29099999999999998</v>
      </c>
      <c r="E46" s="112">
        <v>0.53300000000000003</v>
      </c>
      <c r="F46" s="112">
        <v>0.252</v>
      </c>
      <c r="G46" s="112">
        <v>0.32400000000000001</v>
      </c>
      <c r="H46" s="112">
        <v>0.27400000000000002</v>
      </c>
      <c r="I46" s="112">
        <v>0.29899999999999999</v>
      </c>
      <c r="J46" s="112">
        <v>0.441</v>
      </c>
      <c r="K46" s="112">
        <v>0.41899999999999998</v>
      </c>
      <c r="L46" s="112">
        <v>0.309</v>
      </c>
      <c r="M46" s="112">
        <v>0.20399999999999999</v>
      </c>
      <c r="N46" s="112"/>
      <c r="O46" s="112"/>
    </row>
    <row r="47" spans="1:15" x14ac:dyDescent="0.2">
      <c r="B47" s="112">
        <v>0.67100000000000004</v>
      </c>
      <c r="C47" s="112">
        <v>0.47399999999999998</v>
      </c>
      <c r="D47" s="112">
        <v>0.44700000000000001</v>
      </c>
      <c r="E47" s="112">
        <v>0.14000000000000001</v>
      </c>
      <c r="F47" s="112">
        <v>0.51200000000000001</v>
      </c>
      <c r="G47" s="112">
        <v>0.39400000000000002</v>
      </c>
      <c r="H47" s="112">
        <v>0.47599999999999998</v>
      </c>
      <c r="I47" s="112">
        <v>0.435</v>
      </c>
      <c r="J47" s="112">
        <v>0.23400000000000001</v>
      </c>
      <c r="K47" s="112">
        <v>0.26200000000000001</v>
      </c>
      <c r="L47" s="112">
        <v>0.41899999999999998</v>
      </c>
      <c r="M47" s="112">
        <v>0.59799999999999998</v>
      </c>
      <c r="N47" s="112"/>
      <c r="O47" s="112"/>
    </row>
    <row r="48" spans="1:15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</row>
    <row r="49" spans="1:15" x14ac:dyDescent="0.2">
      <c r="A49" t="s">
        <v>132</v>
      </c>
      <c r="B49" s="112">
        <v>0.309</v>
      </c>
      <c r="C49" s="112">
        <v>-0.44900000000000001</v>
      </c>
      <c r="D49" s="112">
        <v>-0.16300000000000001</v>
      </c>
      <c r="E49" s="112">
        <v>0.68100000000000005</v>
      </c>
      <c r="F49" s="112">
        <v>0.44800000000000001</v>
      </c>
      <c r="G49" s="112">
        <v>0.255</v>
      </c>
      <c r="H49" s="112">
        <v>0.65900000000000003</v>
      </c>
      <c r="I49" s="112">
        <v>0.78900000000000003</v>
      </c>
      <c r="J49" s="112">
        <v>0.72599999999999998</v>
      </c>
      <c r="K49" s="112">
        <v>0.251</v>
      </c>
      <c r="L49" s="112">
        <v>0.69899999999999995</v>
      </c>
      <c r="M49" s="112">
        <v>0.78500000000000003</v>
      </c>
      <c r="N49" s="112">
        <v>0.112</v>
      </c>
      <c r="O49" s="112"/>
    </row>
    <row r="50" spans="1:15" x14ac:dyDescent="0.2">
      <c r="B50" s="112">
        <v>0.41899999999999998</v>
      </c>
      <c r="C50" s="112">
        <v>0.22600000000000001</v>
      </c>
      <c r="D50" s="112">
        <v>0.67500000000000004</v>
      </c>
      <c r="E50" s="112">
        <v>4.2999999999999997E-2</v>
      </c>
      <c r="F50" s="112">
        <v>0.22700000000000001</v>
      </c>
      <c r="G50" s="112">
        <v>0.50800000000000001</v>
      </c>
      <c r="H50" s="112">
        <v>5.2999999999999999E-2</v>
      </c>
      <c r="I50" s="112">
        <v>1.0999999999999999E-2</v>
      </c>
      <c r="J50" s="112">
        <v>2.7E-2</v>
      </c>
      <c r="K50" s="112">
        <v>0.51400000000000001</v>
      </c>
      <c r="L50" s="112">
        <v>3.5999999999999997E-2</v>
      </c>
      <c r="M50" s="112">
        <v>1.2E-2</v>
      </c>
      <c r="N50" s="112">
        <v>0.77400000000000002</v>
      </c>
      <c r="O50" s="112"/>
    </row>
    <row r="51" spans="1:15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</row>
    <row r="52" spans="1:15" x14ac:dyDescent="0.2">
      <c r="A52" t="s">
        <v>113</v>
      </c>
      <c r="B52" s="112">
        <v>-6.0999999999999999E-2</v>
      </c>
      <c r="C52" s="112">
        <v>-0.28499999999999998</v>
      </c>
      <c r="D52" s="112">
        <v>-0.13700000000000001</v>
      </c>
      <c r="E52" s="112">
        <v>0.441</v>
      </c>
      <c r="F52" s="112">
        <v>0.33900000000000002</v>
      </c>
      <c r="G52" s="112">
        <v>0.438</v>
      </c>
      <c r="H52" s="112">
        <v>0.13500000000000001</v>
      </c>
      <c r="I52" s="112">
        <v>0.14499999999999999</v>
      </c>
      <c r="J52" s="112">
        <v>0.26400000000000001</v>
      </c>
      <c r="K52" s="112">
        <v>0.34</v>
      </c>
      <c r="L52" s="112">
        <v>0.111</v>
      </c>
      <c r="M52" s="112">
        <v>0.109</v>
      </c>
      <c r="N52" s="112">
        <v>0.88800000000000001</v>
      </c>
      <c r="O52" s="112">
        <v>-0.13</v>
      </c>
    </row>
    <row r="53" spans="1:15" x14ac:dyDescent="0.2">
      <c r="B53" s="112">
        <v>0.876</v>
      </c>
      <c r="C53" s="112">
        <v>0.45700000000000002</v>
      </c>
      <c r="D53" s="112">
        <v>0.72599999999999998</v>
      </c>
      <c r="E53" s="112">
        <v>0.23400000000000001</v>
      </c>
      <c r="F53" s="112">
        <v>0.372</v>
      </c>
      <c r="G53" s="112">
        <v>0.23899999999999999</v>
      </c>
      <c r="H53" s="112">
        <v>0.72899999999999998</v>
      </c>
      <c r="I53" s="112">
        <v>0.71</v>
      </c>
      <c r="J53" s="112">
        <v>0.49199999999999999</v>
      </c>
      <c r="K53" s="112">
        <v>0.37</v>
      </c>
      <c r="L53" s="112">
        <v>0.77600000000000002</v>
      </c>
      <c r="M53" s="112">
        <v>0.78100000000000003</v>
      </c>
      <c r="N53" s="112">
        <v>1E-3</v>
      </c>
      <c r="O53" s="112">
        <v>0.74</v>
      </c>
    </row>
    <row r="54" spans="1:15" x14ac:dyDescent="0.2">
      <c r="B54" s="112"/>
      <c r="C54" s="112"/>
      <c r="D54" s="112"/>
      <c r="E54" s="112"/>
      <c r="F54" s="112"/>
      <c r="G54" s="112"/>
      <c r="H54" s="112"/>
      <c r="I54" s="112"/>
    </row>
    <row r="55" spans="1:15" x14ac:dyDescent="0.2">
      <c r="B55" s="112"/>
      <c r="C55" s="112"/>
      <c r="D55" s="112"/>
      <c r="E55" s="112"/>
      <c r="F55" s="112"/>
      <c r="G55" s="112"/>
      <c r="H55" s="112"/>
      <c r="I55" s="112"/>
    </row>
    <row r="56" spans="1:15" x14ac:dyDescent="0.2">
      <c r="H56" s="112"/>
      <c r="I56" s="112"/>
    </row>
    <row r="57" spans="1:15" x14ac:dyDescent="0.2">
      <c r="H57" s="112"/>
      <c r="I57" s="112"/>
    </row>
    <row r="58" spans="1:15" x14ac:dyDescent="0.2">
      <c r="H58" s="112"/>
      <c r="I58" s="112"/>
    </row>
    <row r="59" spans="1:15" x14ac:dyDescent="0.2">
      <c r="H59" s="112"/>
      <c r="I59" s="112"/>
    </row>
    <row r="60" spans="1:15" x14ac:dyDescent="0.2">
      <c r="H60" s="112"/>
      <c r="I60" s="112"/>
    </row>
    <row r="61" spans="1:15" x14ac:dyDescent="0.2">
      <c r="H61" s="112"/>
      <c r="I61" s="112"/>
    </row>
    <row r="62" spans="1:15" x14ac:dyDescent="0.2">
      <c r="H62" s="112"/>
      <c r="I62" s="112"/>
    </row>
    <row r="63" spans="1:15" x14ac:dyDescent="0.2">
      <c r="H63" s="112"/>
      <c r="I63" s="112"/>
    </row>
    <row r="64" spans="1:15" x14ac:dyDescent="0.2">
      <c r="H64" s="112"/>
      <c r="I64" s="112"/>
    </row>
    <row r="65" spans="8:9" x14ac:dyDescent="0.2">
      <c r="H65" s="112"/>
      <c r="I65" s="112"/>
    </row>
    <row r="66" spans="8:9" x14ac:dyDescent="0.2">
      <c r="H66" s="112"/>
      <c r="I66" s="112"/>
    </row>
    <row r="67" spans="8:9" x14ac:dyDescent="0.2">
      <c r="H67" s="112"/>
      <c r="I67" s="112"/>
    </row>
    <row r="68" spans="8:9" x14ac:dyDescent="0.2">
      <c r="H68" s="112"/>
      <c r="I68" s="112"/>
    </row>
    <row r="69" spans="8:9" x14ac:dyDescent="0.2">
      <c r="H69" s="112"/>
      <c r="I69" s="112"/>
    </row>
    <row r="70" spans="8:9" x14ac:dyDescent="0.2">
      <c r="H70" s="112"/>
      <c r="I70" s="112"/>
    </row>
    <row r="71" spans="8:9" x14ac:dyDescent="0.2">
      <c r="H71" s="112"/>
      <c r="I71" s="112"/>
    </row>
    <row r="72" spans="8:9" x14ac:dyDescent="0.2">
      <c r="H72" s="112"/>
      <c r="I72" s="112"/>
    </row>
    <row r="73" spans="8:9" x14ac:dyDescent="0.2">
      <c r="H73" s="112"/>
      <c r="I73" s="11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8"/>
  <sheetViews>
    <sheetView topLeftCell="A33" workbookViewId="0">
      <selection activeCell="A96" sqref="A96"/>
    </sheetView>
  </sheetViews>
  <sheetFormatPr defaultRowHeight="12.75" x14ac:dyDescent="0.2"/>
  <sheetData>
    <row r="3" spans="1:13" x14ac:dyDescent="0.2">
      <c r="B3" t="s">
        <v>95</v>
      </c>
      <c r="C3" t="s">
        <v>130</v>
      </c>
      <c r="D3" t="s">
        <v>131</v>
      </c>
      <c r="E3" t="s">
        <v>28</v>
      </c>
      <c r="F3" t="s">
        <v>136</v>
      </c>
      <c r="G3" t="s">
        <v>137</v>
      </c>
      <c r="H3" t="s">
        <v>138</v>
      </c>
      <c r="I3" t="s">
        <v>139</v>
      </c>
      <c r="J3" t="s">
        <v>140</v>
      </c>
      <c r="K3" t="s">
        <v>141</v>
      </c>
      <c r="L3" t="s">
        <v>142</v>
      </c>
      <c r="M3" t="s">
        <v>34</v>
      </c>
    </row>
    <row r="4" spans="1:13" x14ac:dyDescent="0.2">
      <c r="A4" t="s">
        <v>130</v>
      </c>
      <c r="B4" s="317">
        <v>0.80600000000000005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2">
      <c r="B5" s="317">
        <v>0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 x14ac:dyDescent="0.2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13" x14ac:dyDescent="0.2">
      <c r="A7" t="s">
        <v>131</v>
      </c>
      <c r="B7" s="317">
        <v>0.77200000000000002</v>
      </c>
      <c r="C7" s="317">
        <v>0.85199999999999998</v>
      </c>
      <c r="D7" s="317"/>
      <c r="E7" s="112"/>
      <c r="F7" s="112"/>
      <c r="G7" s="112"/>
      <c r="H7" s="112"/>
      <c r="I7" s="112"/>
      <c r="J7" s="112"/>
      <c r="K7" s="112"/>
      <c r="L7" s="112"/>
      <c r="M7" s="112"/>
    </row>
    <row r="8" spans="1:13" x14ac:dyDescent="0.2">
      <c r="B8" s="317">
        <v>0</v>
      </c>
      <c r="C8" s="317">
        <v>0</v>
      </c>
      <c r="D8" s="317"/>
      <c r="E8" s="112"/>
      <c r="F8" s="112"/>
      <c r="G8" s="112"/>
      <c r="H8" s="112"/>
      <c r="I8" s="112"/>
      <c r="J8" s="112"/>
      <c r="K8" s="112"/>
      <c r="L8" s="112"/>
      <c r="M8" s="112"/>
    </row>
    <row r="9" spans="1:13" x14ac:dyDescent="0.2">
      <c r="B9" s="317"/>
      <c r="C9" s="317"/>
      <c r="D9" s="317"/>
      <c r="E9" s="112"/>
      <c r="F9" s="112"/>
      <c r="G9" s="112"/>
      <c r="H9" s="112"/>
      <c r="I9" s="112"/>
      <c r="J9" s="112"/>
      <c r="K9" s="112"/>
      <c r="L9" s="112"/>
      <c r="M9" s="112"/>
    </row>
    <row r="10" spans="1:13" x14ac:dyDescent="0.2">
      <c r="A10" t="s">
        <v>28</v>
      </c>
      <c r="B10" s="317">
        <v>0.84199999999999997</v>
      </c>
      <c r="C10" s="317">
        <v>0.86699999999999999</v>
      </c>
      <c r="D10" s="317">
        <v>0.95299999999999996</v>
      </c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3" x14ac:dyDescent="0.2">
      <c r="B11" s="317">
        <v>0</v>
      </c>
      <c r="C11" s="317">
        <v>0</v>
      </c>
      <c r="D11" s="317">
        <v>0</v>
      </c>
      <c r="E11" s="112"/>
      <c r="F11" s="112"/>
      <c r="G11" s="112"/>
      <c r="H11" s="112"/>
      <c r="I11" s="112"/>
      <c r="J11" s="112"/>
      <c r="K11" s="112"/>
      <c r="L11" s="112"/>
      <c r="M11" s="112"/>
    </row>
    <row r="12" spans="1:13" x14ac:dyDescent="0.2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</row>
    <row r="13" spans="1:13" x14ac:dyDescent="0.2">
      <c r="A13" t="s">
        <v>136</v>
      </c>
      <c r="B13" s="112">
        <v>-0.30099999999999999</v>
      </c>
      <c r="C13" s="112">
        <v>-0.17699999999999999</v>
      </c>
      <c r="D13" s="112">
        <v>-4.5999999999999999E-2</v>
      </c>
      <c r="E13" s="112">
        <v>-0.13900000000000001</v>
      </c>
      <c r="F13" s="112"/>
      <c r="G13" s="112"/>
      <c r="H13" s="112"/>
      <c r="I13" s="112"/>
      <c r="J13" s="112"/>
      <c r="K13" s="112"/>
      <c r="L13" s="112"/>
      <c r="M13" s="112"/>
    </row>
    <row r="14" spans="1:13" x14ac:dyDescent="0.2">
      <c r="B14" s="112">
        <v>5.1999999999999998E-2</v>
      </c>
      <c r="C14" s="112">
        <v>0.26200000000000001</v>
      </c>
      <c r="D14" s="112">
        <v>0.77400000000000002</v>
      </c>
      <c r="E14" s="112">
        <v>0.38100000000000001</v>
      </c>
      <c r="F14" s="112"/>
      <c r="G14" s="112"/>
      <c r="H14" s="112"/>
      <c r="I14" s="112"/>
      <c r="J14" s="112"/>
      <c r="K14" s="112"/>
      <c r="L14" s="112"/>
      <c r="M14" s="112"/>
    </row>
    <row r="15" spans="1:13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</row>
    <row r="16" spans="1:13" x14ac:dyDescent="0.2">
      <c r="A16" t="s">
        <v>137</v>
      </c>
      <c r="B16" s="112">
        <v>-0.434</v>
      </c>
      <c r="C16" s="112">
        <v>-0.34399999999999997</v>
      </c>
      <c r="D16" s="112">
        <v>-0.254</v>
      </c>
      <c r="E16" s="112">
        <v>-0.32200000000000001</v>
      </c>
      <c r="F16" s="317">
        <v>0.93400000000000005</v>
      </c>
      <c r="G16" s="317"/>
      <c r="H16" s="317"/>
      <c r="I16" s="112"/>
      <c r="J16" s="112"/>
      <c r="K16" s="112"/>
      <c r="L16" s="112"/>
      <c r="M16" s="112"/>
    </row>
    <row r="17" spans="1:13" x14ac:dyDescent="0.2">
      <c r="B17" s="112">
        <v>4.0000000000000001E-3</v>
      </c>
      <c r="C17" s="112">
        <v>2.5999999999999999E-2</v>
      </c>
      <c r="D17" s="112">
        <v>0.105</v>
      </c>
      <c r="E17" s="112">
        <v>3.7999999999999999E-2</v>
      </c>
      <c r="F17" s="317">
        <v>0</v>
      </c>
      <c r="G17" s="317"/>
      <c r="H17" s="317"/>
      <c r="I17" s="112"/>
      <c r="J17" s="112"/>
      <c r="K17" s="112"/>
      <c r="L17" s="112"/>
      <c r="M17" s="112"/>
    </row>
    <row r="18" spans="1:13" x14ac:dyDescent="0.2">
      <c r="B18" s="112"/>
      <c r="C18" s="112"/>
      <c r="D18" s="112"/>
      <c r="E18" s="112"/>
      <c r="F18" s="317"/>
      <c r="G18" s="317"/>
      <c r="H18" s="317"/>
      <c r="I18" s="112"/>
      <c r="J18" s="112"/>
      <c r="K18" s="112"/>
      <c r="L18" s="112"/>
      <c r="M18" s="112"/>
    </row>
    <row r="19" spans="1:13" x14ac:dyDescent="0.2">
      <c r="A19" t="s">
        <v>138</v>
      </c>
      <c r="B19" s="112">
        <v>-0.26500000000000001</v>
      </c>
      <c r="C19" s="112">
        <v>-0.17899999999999999</v>
      </c>
      <c r="D19" s="112">
        <v>-6.2E-2</v>
      </c>
      <c r="E19" s="112">
        <v>-0.155</v>
      </c>
      <c r="F19" s="317">
        <v>0.81599999999999995</v>
      </c>
      <c r="G19" s="317">
        <v>0.82199999999999995</v>
      </c>
      <c r="H19" s="317"/>
      <c r="I19" s="112"/>
      <c r="J19" s="112"/>
      <c r="K19" s="112"/>
      <c r="L19" s="112"/>
      <c r="M19" s="112"/>
    </row>
    <row r="20" spans="1:13" x14ac:dyDescent="0.2">
      <c r="B20" s="112">
        <v>0.09</v>
      </c>
      <c r="C20" s="112">
        <v>0.25600000000000001</v>
      </c>
      <c r="D20" s="112">
        <v>0.69799999999999995</v>
      </c>
      <c r="E20" s="112">
        <v>0.32700000000000001</v>
      </c>
      <c r="F20" s="317">
        <v>0</v>
      </c>
      <c r="G20" s="317">
        <v>0</v>
      </c>
      <c r="H20" s="317"/>
      <c r="I20" s="112"/>
      <c r="J20" s="112"/>
      <c r="K20" s="112"/>
      <c r="L20" s="112"/>
      <c r="M20" s="112"/>
    </row>
    <row r="21" spans="1:13" x14ac:dyDescent="0.2">
      <c r="B21" s="112"/>
      <c r="C21" s="112"/>
      <c r="D21" s="112"/>
      <c r="E21" s="112"/>
      <c r="F21" s="317"/>
      <c r="G21" s="317"/>
      <c r="H21" s="317"/>
      <c r="I21" s="112"/>
      <c r="J21" s="112"/>
      <c r="K21" s="112"/>
      <c r="L21" s="112"/>
      <c r="M21" s="112"/>
    </row>
    <row r="22" spans="1:13" x14ac:dyDescent="0.2">
      <c r="A22" t="s">
        <v>139</v>
      </c>
      <c r="B22" s="112">
        <v>-0.23400000000000001</v>
      </c>
      <c r="C22" s="112">
        <v>-0.14000000000000001</v>
      </c>
      <c r="D22" s="112">
        <v>-3.1E-2</v>
      </c>
      <c r="E22" s="112">
        <v>-4.8000000000000001E-2</v>
      </c>
      <c r="F22" s="317">
        <v>0.83399999999999996</v>
      </c>
      <c r="G22" s="317">
        <v>0.83199999999999996</v>
      </c>
      <c r="H22" s="317">
        <v>0.81499999999999995</v>
      </c>
      <c r="I22" s="112"/>
      <c r="J22" s="112"/>
      <c r="K22" s="112"/>
      <c r="L22" s="112"/>
      <c r="M22" s="112"/>
    </row>
    <row r="23" spans="1:13" x14ac:dyDescent="0.2">
      <c r="B23" s="112">
        <v>0.13600000000000001</v>
      </c>
      <c r="C23" s="112">
        <v>0.378</v>
      </c>
      <c r="D23" s="112">
        <v>0.84499999999999997</v>
      </c>
      <c r="E23" s="112">
        <v>0.76100000000000001</v>
      </c>
      <c r="F23" s="317">
        <v>0</v>
      </c>
      <c r="G23" s="317">
        <v>0</v>
      </c>
      <c r="H23" s="317">
        <v>0</v>
      </c>
      <c r="I23" s="112"/>
      <c r="J23" s="112"/>
      <c r="K23" s="112"/>
      <c r="L23" s="112"/>
      <c r="M23" s="112"/>
    </row>
    <row r="24" spans="1:13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</row>
    <row r="25" spans="1:13" x14ac:dyDescent="0.2">
      <c r="A25" t="s">
        <v>140</v>
      </c>
      <c r="B25" s="112">
        <v>0.36499999999999999</v>
      </c>
      <c r="C25" s="112">
        <v>0.58699999999999997</v>
      </c>
      <c r="D25" s="317">
        <v>0.71599999999999997</v>
      </c>
      <c r="E25" s="112">
        <v>0.64100000000000001</v>
      </c>
      <c r="F25" s="112">
        <v>0.42499999999999999</v>
      </c>
      <c r="G25" s="112">
        <v>0.23899999999999999</v>
      </c>
      <c r="H25" s="112">
        <v>0.44400000000000001</v>
      </c>
      <c r="I25" s="112">
        <v>0.45</v>
      </c>
      <c r="J25" s="112"/>
      <c r="K25" s="112"/>
      <c r="L25" s="112"/>
      <c r="M25" s="112"/>
    </row>
    <row r="26" spans="1:13" x14ac:dyDescent="0.2">
      <c r="B26" s="112">
        <v>1.7000000000000001E-2</v>
      </c>
      <c r="C26" s="112">
        <v>0</v>
      </c>
      <c r="D26" s="317">
        <v>0</v>
      </c>
      <c r="E26" s="112">
        <v>0</v>
      </c>
      <c r="F26" s="112">
        <v>5.0000000000000001E-3</v>
      </c>
      <c r="G26" s="112">
        <v>0.128</v>
      </c>
      <c r="H26" s="112">
        <v>3.0000000000000001E-3</v>
      </c>
      <c r="I26" s="112">
        <v>3.0000000000000001E-3</v>
      </c>
      <c r="J26" s="112"/>
      <c r="K26" s="112"/>
      <c r="L26" s="112"/>
      <c r="M26" s="112"/>
    </row>
    <row r="27" spans="1:13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</row>
    <row r="28" spans="1:13" x14ac:dyDescent="0.2">
      <c r="A28" t="s">
        <v>141</v>
      </c>
      <c r="B28" s="112">
        <v>-0.246</v>
      </c>
      <c r="C28" s="112">
        <v>-0.14000000000000001</v>
      </c>
      <c r="D28" s="112">
        <v>-0.14299999999999999</v>
      </c>
      <c r="E28" s="112">
        <v>-0.161</v>
      </c>
      <c r="F28" s="112">
        <v>0.38100000000000001</v>
      </c>
      <c r="G28" s="112">
        <v>0.53900000000000003</v>
      </c>
      <c r="H28" s="112">
        <v>0.47599999999999998</v>
      </c>
      <c r="I28" s="112">
        <v>0.621</v>
      </c>
      <c r="J28" s="112">
        <v>0.186</v>
      </c>
      <c r="K28" s="112"/>
      <c r="L28" s="112"/>
      <c r="M28" s="112"/>
    </row>
    <row r="29" spans="1:13" x14ac:dyDescent="0.2">
      <c r="B29" s="112">
        <v>0.11600000000000001</v>
      </c>
      <c r="C29" s="112">
        <v>0.378</v>
      </c>
      <c r="D29" s="112">
        <v>0.36599999999999999</v>
      </c>
      <c r="E29" s="112">
        <v>0.308</v>
      </c>
      <c r="F29" s="112">
        <v>1.2999999999999999E-2</v>
      </c>
      <c r="G29" s="112">
        <v>0</v>
      </c>
      <c r="H29" s="112">
        <v>1E-3</v>
      </c>
      <c r="I29" s="112">
        <v>0</v>
      </c>
      <c r="J29" s="112">
        <v>0.23899999999999999</v>
      </c>
      <c r="K29" s="112"/>
      <c r="L29" s="112"/>
      <c r="M29" s="112"/>
    </row>
    <row r="30" spans="1:13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</row>
    <row r="31" spans="1:13" x14ac:dyDescent="0.2">
      <c r="A31" t="s">
        <v>142</v>
      </c>
      <c r="B31" s="112">
        <v>-0.45600000000000002</v>
      </c>
      <c r="C31" s="112">
        <v>-0.40500000000000003</v>
      </c>
      <c r="D31" s="112">
        <v>-0.316</v>
      </c>
      <c r="E31" s="112">
        <v>-0.39300000000000002</v>
      </c>
      <c r="F31" s="112">
        <v>0.69099999999999995</v>
      </c>
      <c r="G31" s="317">
        <v>0.76400000000000001</v>
      </c>
      <c r="H31" s="317">
        <v>0.93100000000000005</v>
      </c>
      <c r="I31" s="317">
        <v>0.749</v>
      </c>
      <c r="J31" s="112">
        <v>0.21299999999999999</v>
      </c>
      <c r="K31" s="112">
        <v>0.54200000000000004</v>
      </c>
      <c r="L31" s="112"/>
      <c r="M31" s="112"/>
    </row>
    <row r="32" spans="1:13" x14ac:dyDescent="0.2">
      <c r="B32" s="112">
        <v>2E-3</v>
      </c>
      <c r="C32" s="112">
        <v>8.0000000000000002E-3</v>
      </c>
      <c r="D32" s="112">
        <v>4.1000000000000002E-2</v>
      </c>
      <c r="E32" s="112">
        <v>0.01</v>
      </c>
      <c r="F32" s="112">
        <v>0</v>
      </c>
      <c r="G32" s="317">
        <v>0</v>
      </c>
      <c r="H32" s="317">
        <v>0</v>
      </c>
      <c r="I32" s="317">
        <v>0</v>
      </c>
      <c r="J32" s="112">
        <v>0.17599999999999999</v>
      </c>
      <c r="K32" s="112">
        <v>0</v>
      </c>
      <c r="L32" s="112"/>
      <c r="M32" s="112"/>
    </row>
    <row r="33" spans="1:13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</row>
    <row r="34" spans="1:13" x14ac:dyDescent="0.2">
      <c r="A34" t="s">
        <v>34</v>
      </c>
      <c r="B34" s="112">
        <v>0.35599999999999998</v>
      </c>
      <c r="C34" s="112">
        <v>0.64700000000000002</v>
      </c>
      <c r="D34" s="112">
        <v>0.57599999999999996</v>
      </c>
      <c r="E34" s="112">
        <v>0.47899999999999998</v>
      </c>
      <c r="F34" s="112">
        <v>4.7E-2</v>
      </c>
      <c r="G34" s="112">
        <v>-8.5999999999999993E-2</v>
      </c>
      <c r="H34" s="112">
        <v>2.5000000000000001E-2</v>
      </c>
      <c r="I34" s="112">
        <v>5.0000000000000001E-3</v>
      </c>
      <c r="J34" s="112">
        <v>0.65500000000000003</v>
      </c>
      <c r="K34" s="112">
        <v>7.1999999999999995E-2</v>
      </c>
      <c r="L34" s="112">
        <v>-0.186</v>
      </c>
      <c r="M34" s="112"/>
    </row>
    <row r="35" spans="1:13" x14ac:dyDescent="0.2">
      <c r="B35" s="112">
        <v>2.1000000000000001E-2</v>
      </c>
      <c r="C35" s="112">
        <v>0</v>
      </c>
      <c r="D35" s="112">
        <v>0</v>
      </c>
      <c r="E35" s="112">
        <v>1E-3</v>
      </c>
      <c r="F35" s="112">
        <v>0.77</v>
      </c>
      <c r="G35" s="112">
        <v>0.58799999999999997</v>
      </c>
      <c r="H35" s="112">
        <v>0.873</v>
      </c>
      <c r="I35" s="112">
        <v>0.97299999999999998</v>
      </c>
      <c r="J35" s="112">
        <v>0</v>
      </c>
      <c r="K35" s="112">
        <v>0.65100000000000002</v>
      </c>
      <c r="L35" s="112">
        <v>0.23799999999999999</v>
      </c>
      <c r="M35" s="112"/>
    </row>
    <row r="36" spans="1:13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</row>
    <row r="37" spans="1:13" x14ac:dyDescent="0.2">
      <c r="A37" t="s">
        <v>135</v>
      </c>
      <c r="B37" s="112">
        <v>-0.5</v>
      </c>
      <c r="C37" s="112">
        <v>-0.44500000000000001</v>
      </c>
      <c r="D37" s="112">
        <v>-0.377</v>
      </c>
      <c r="E37" s="112">
        <v>-0.43099999999999999</v>
      </c>
      <c r="F37" s="317">
        <v>0.84099999999999997</v>
      </c>
      <c r="G37" s="317">
        <v>0.84599999999999997</v>
      </c>
      <c r="H37" s="112">
        <v>0.60799999999999998</v>
      </c>
      <c r="I37" s="112">
        <v>0.60699999999999998</v>
      </c>
      <c r="J37" s="112">
        <v>2.3E-2</v>
      </c>
      <c r="K37" s="112">
        <v>0.222</v>
      </c>
      <c r="L37" s="112">
        <v>0.6</v>
      </c>
      <c r="M37" s="112">
        <v>-0.20200000000000001</v>
      </c>
    </row>
    <row r="38" spans="1:13" x14ac:dyDescent="0.2">
      <c r="B38" s="112">
        <v>1E-3</v>
      </c>
      <c r="C38" s="112">
        <v>3.0000000000000001E-3</v>
      </c>
      <c r="D38" s="112">
        <v>1.4E-2</v>
      </c>
      <c r="E38" s="112">
        <v>4.0000000000000001E-3</v>
      </c>
      <c r="F38" s="317">
        <v>0</v>
      </c>
      <c r="G38" s="317">
        <v>0</v>
      </c>
      <c r="H38" s="112">
        <v>0</v>
      </c>
      <c r="I38" s="112">
        <v>0</v>
      </c>
      <c r="J38" s="112">
        <v>0.88300000000000001</v>
      </c>
      <c r="K38" s="112">
        <v>0.158</v>
      </c>
      <c r="L38" s="112">
        <v>0</v>
      </c>
      <c r="M38" s="112">
        <v>0.19900000000000001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Data</vt:lpstr>
      <vt:lpstr>2015 Statistics</vt:lpstr>
      <vt:lpstr>2013 - 2016 All data</vt:lpstr>
      <vt:lpstr>2013 - 2015 Statistics</vt:lpstr>
      <vt:lpstr>2016 Statistics</vt:lpstr>
      <vt:lpstr>2013 - 2016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David Vogt</dc:creator>
  <cp:lastModifiedBy>Rolf David Vogt</cp:lastModifiedBy>
  <cp:lastPrinted>2010-09-02T07:03:33Z</cp:lastPrinted>
  <dcterms:created xsi:type="dcterms:W3CDTF">2010-01-09T17:19:18Z</dcterms:created>
  <dcterms:modified xsi:type="dcterms:W3CDTF">2016-11-18T12:20:12Z</dcterms:modified>
</cp:coreProperties>
</file>